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019CDB-2B35-44CB-AD41-35982901F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 TOTAL" sheetId="45" r:id="rId1"/>
    <sheet name="RAB INFRA" sheetId="44" r:id="rId2"/>
    <sheet name="Rekap ME " sheetId="50" r:id="rId3"/>
    <sheet name="A. elektrikal" sheetId="49" r:id="rId4"/>
    <sheet name="B. Plumbing" sheetId="4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DIV1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LLL01">'[1]Harga Alat'!#REF!</definedName>
    <definedName name="__LLL02">'[1]Harga Alat'!#REF!</definedName>
    <definedName name="__LLL03">'[1]Harga Alat'!#REF!</definedName>
    <definedName name="__LLL04">'[1]Harga Alat'!#REF!</definedName>
    <definedName name="__LLL05">'[1]Harga Alat'!#REF!</definedName>
    <definedName name="__LLL06">'[1]Harga Alat'!#REF!</definedName>
    <definedName name="__LLL07">'[1]Harga Alat'!#REF!</definedName>
    <definedName name="__LLL08">'[1]Harga Alat'!#REF!</definedName>
    <definedName name="__LLL09">'[1]Harga Alat'!#REF!</definedName>
    <definedName name="__LLL10">'[1]Harga Alat'!#REF!</definedName>
    <definedName name="__LLL11">'[1]Harga Alat'!#REF!</definedName>
    <definedName name="__MMM01">'[1]Harga Alat'!#REF!</definedName>
    <definedName name="__MMM02">'[1]Harga Alat'!#REF!</definedName>
    <definedName name="__MMM03">'[1]Harga Alat'!#REF!</definedName>
    <definedName name="__MMM04">'[1]Harga Alat'!#REF!</definedName>
    <definedName name="__MMM05">'[1]Harga Alat'!#REF!</definedName>
    <definedName name="__MMM06">'[1]Harga Alat'!#REF!</definedName>
    <definedName name="__MMM07">'[1]Harga Alat'!#REF!</definedName>
    <definedName name="__MMM08">'[1]Harga Alat'!#REF!</definedName>
    <definedName name="__MMM09">'[1]Harga Alat'!#REF!</definedName>
    <definedName name="__MMM10">'[1]Harga Alat'!#REF!</definedName>
    <definedName name="__MMM11">'[1]Harga Alat'!#REF!</definedName>
    <definedName name="__MMM12">'[1]Harga Alat'!#REF!</definedName>
    <definedName name="__MMM13">'[1]Harga Alat'!#REF!</definedName>
    <definedName name="__MMM14">'[1]Harga Alat'!#REF!</definedName>
    <definedName name="__MMM15">'[1]Harga Alat'!#REF!</definedName>
    <definedName name="__MMM16">'[1]Harga Alat'!#REF!</definedName>
    <definedName name="__MMM17">'[1]Harga Alat'!#REF!</definedName>
    <definedName name="__MMM18">'[1]Harga Alat'!#REF!</definedName>
    <definedName name="__MMM19">'[1]Harga Alat'!#REF!</definedName>
    <definedName name="__MMM20">'[1]Harga Alat'!#REF!</definedName>
    <definedName name="__MMM21">'[1]Harga Alat'!#REF!</definedName>
    <definedName name="__MMM22">'[1]Harga Alat'!#REF!</definedName>
    <definedName name="__MMM23">'[1]Harga Alat'!#REF!</definedName>
    <definedName name="__MMM24">'[1]Harga Alat'!#REF!</definedName>
    <definedName name="__MMM25">'[1]Harga Alat'!#REF!</definedName>
    <definedName name="__MMM26">'[1]Harga Alat'!#REF!</definedName>
    <definedName name="__MMM27">'[1]Harga Alat'!#REF!</definedName>
    <definedName name="__MMM28">'[1]Harga Alat'!#REF!</definedName>
    <definedName name="__MMM29">'[1]Harga Alat'!#REF!</definedName>
    <definedName name="__MMM30">'[1]Harga Alat'!#REF!</definedName>
    <definedName name="__MMM31">'[1]Harga Alat'!#REF!</definedName>
    <definedName name="__MMM32">'[1]Harga Alat'!#REF!</definedName>
    <definedName name="__MMM33">'[1]Harga Alat'!#REF!</definedName>
    <definedName name="__MMM34">'[1]Harga Alat'!#REF!</definedName>
    <definedName name="__MMM35">'[1]Harga Alat'!#REF!</definedName>
    <definedName name="__MMM36">'[1]Harga Alat'!#REF!</definedName>
    <definedName name="__MMM37">'[1]Harga Alat'!#REF!</definedName>
    <definedName name="__MMM38">'[1]Harga Alat'!#REF!</definedName>
    <definedName name="__MMM39">'[1]Harga Alat'!#REF!</definedName>
    <definedName name="__MMM40">'[1]Harga Alat'!#REF!</definedName>
    <definedName name="__MMM41">'[1]Harga Alat'!#REF!</definedName>
    <definedName name="__MMM411">'[1]Harga Alat'!#REF!</definedName>
    <definedName name="__MMM42">'[1]Harga Alat'!#REF!</definedName>
    <definedName name="__MMM43">'[1]Harga Alat'!#REF!</definedName>
    <definedName name="__MMM44">'[1]Harga Alat'!#REF!</definedName>
    <definedName name="__MMM45">'[1]Harga Alat'!#REF!</definedName>
    <definedName name="__MMM46">'[1]Harga Alat'!#REF!</definedName>
    <definedName name="__MMM47">'[1]Harga Alat'!#REF!</definedName>
    <definedName name="__MMM48">'[1]Harga Alat'!#REF!</definedName>
    <definedName name="__MMM49">'[1]Harga Alat'!#REF!</definedName>
    <definedName name="__MMM50">'[1]Harga Alat'!#REF!</definedName>
    <definedName name="__MMM51">'[1]Harga Alat'!#REF!</definedName>
    <definedName name="__MMM52">'[1]Harga Alat'!#REF!</definedName>
    <definedName name="__MMM53">'[1]Harga Alat'!#REF!</definedName>
    <definedName name="__MMM54">'[1]Harga Alat'!#REF!</definedName>
    <definedName name="_7.1__2">'[2]D7(1)'!#REF!</definedName>
    <definedName name="_DIV11">#REF!</definedName>
    <definedName name="_FAK1">[3]H_Dasar!#REF!</definedName>
    <definedName name="_HAL1">#REF!</definedName>
    <definedName name="_HAL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JUM1">'[3]Analisa pemkot'!#REF!</definedName>
    <definedName name="_LLL01">'[4]Harga Alat'!#REF!</definedName>
    <definedName name="_LLL02">'[4]Harga Alat'!#REF!</definedName>
    <definedName name="_LLL03">'[4]Harga Alat'!#REF!</definedName>
    <definedName name="_LLL04">'[4]Harga Alat'!#REF!</definedName>
    <definedName name="_LLL05">'[4]Harga Alat'!#REF!</definedName>
    <definedName name="_LLL06">'[4]Harga Alat'!#REF!</definedName>
    <definedName name="_LLL07">'[4]Harga Alat'!#REF!</definedName>
    <definedName name="_LLL08">'[4]Harga Alat'!#REF!</definedName>
    <definedName name="_LLL09">'[4]Harga Alat'!#REF!</definedName>
    <definedName name="_LLL10">'[4]Harga Alat'!#REF!</definedName>
    <definedName name="_LLL11">'[4]Harga Alat'!#REF!</definedName>
    <definedName name="_MMM01">'[4]Harga Alat'!#REF!</definedName>
    <definedName name="_MMM02">'[4]Harga Alat'!#REF!</definedName>
    <definedName name="_MMM03">'[4]Harga Alat'!#REF!</definedName>
    <definedName name="_MMM04">'[4]Harga Alat'!#REF!</definedName>
    <definedName name="_MMM05">'[4]Harga Alat'!#REF!</definedName>
    <definedName name="_MMM06">'[4]Harga Alat'!#REF!</definedName>
    <definedName name="_MMM07">'[4]Harga Alat'!#REF!</definedName>
    <definedName name="_MMM08">'[4]Harga Alat'!#REF!</definedName>
    <definedName name="_MMM09">'[4]Harga Alat'!#REF!</definedName>
    <definedName name="_MMM10">'[4]Harga Alat'!#REF!</definedName>
    <definedName name="_MMM11">'[4]Harga Alat'!#REF!</definedName>
    <definedName name="_MMM12">'[4]Harga Alat'!#REF!</definedName>
    <definedName name="_MMM13">'[4]Harga Alat'!#REF!</definedName>
    <definedName name="_MMM14">'[4]Harga Alat'!#REF!</definedName>
    <definedName name="_MMM15">'[4]Harga Alat'!#REF!</definedName>
    <definedName name="_MMM16">'[4]Harga Alat'!#REF!</definedName>
    <definedName name="_MMM17">'[4]Harga Alat'!#REF!</definedName>
    <definedName name="_MMM18">'[4]Harga Alat'!#REF!</definedName>
    <definedName name="_MMM19">'[4]Harga Alat'!#REF!</definedName>
    <definedName name="_MMM20">'[4]Harga Alat'!#REF!</definedName>
    <definedName name="_MMM21">'[4]Harga Alat'!#REF!</definedName>
    <definedName name="_MMM22">'[4]Harga Alat'!#REF!</definedName>
    <definedName name="_MMM23">'[4]Harga Alat'!#REF!</definedName>
    <definedName name="_MMM24">'[4]Harga Alat'!#REF!</definedName>
    <definedName name="_MMM25">'[4]Harga Alat'!#REF!</definedName>
    <definedName name="_MMM26">'[4]Harga Alat'!#REF!</definedName>
    <definedName name="_MMM27">'[4]Harga Alat'!#REF!</definedName>
    <definedName name="_MMM28">'[4]Harga Alat'!#REF!</definedName>
    <definedName name="_MMM29">'[4]Harga Alat'!#REF!</definedName>
    <definedName name="_MMM30">'[4]Harga Alat'!#REF!</definedName>
    <definedName name="_MMM31">'[4]Harga Alat'!#REF!</definedName>
    <definedName name="_MMM32">'[4]Harga Alat'!#REF!</definedName>
    <definedName name="_MMM33">'[4]Harga Alat'!#REF!</definedName>
    <definedName name="_MMM34">'[4]Harga Alat'!#REF!</definedName>
    <definedName name="_MMM35">'[4]Harga Alat'!#REF!</definedName>
    <definedName name="_MMM36">'[4]Harga Alat'!#REF!</definedName>
    <definedName name="_MMM37">'[4]Harga Alat'!#REF!</definedName>
    <definedName name="_MMM38">'[4]Harga Alat'!#REF!</definedName>
    <definedName name="_MMM39">'[4]Harga Alat'!#REF!</definedName>
    <definedName name="_MMM40">'[4]Harga Alat'!#REF!</definedName>
    <definedName name="_MMM41">'[4]Harga Alat'!#REF!</definedName>
    <definedName name="_MMM411">'[4]Harga Alat'!#REF!</definedName>
    <definedName name="_MMM42">'[4]Harga Alat'!#REF!</definedName>
    <definedName name="_MMM43">'[4]Harga Alat'!#REF!</definedName>
    <definedName name="_MMM44">'[4]Harga Alat'!#REF!</definedName>
    <definedName name="_MMM45">'[4]Harga Alat'!#REF!</definedName>
    <definedName name="_MMM46">'[4]Harga Alat'!#REF!</definedName>
    <definedName name="_MMM47">'[4]Harga Alat'!#REF!</definedName>
    <definedName name="_MMM48">'[4]Harga Alat'!#REF!</definedName>
    <definedName name="_MMM49">'[4]Harga Alat'!#REF!</definedName>
    <definedName name="_MMM50">'[4]Harga Alat'!#REF!</definedName>
    <definedName name="_MMM51">'[4]Harga Alat'!#REF!</definedName>
    <definedName name="_MMM52">'[4]Harga Alat'!#REF!</definedName>
    <definedName name="_MMM53">'[4]Harga Alat'!#REF!</definedName>
    <definedName name="_MMM54">'[4]Harga Alat'!#REF!</definedName>
    <definedName name="_UK225">'[3]Analisa pemkot'!#REF!</definedName>
    <definedName name="_UK350">'[3]Analisa pemkot'!#REF!</definedName>
    <definedName name="ADITIVE">[3]H_Dasar!#REF!</definedName>
    <definedName name="alattulis">[3]H_Dasar!#REF!</definedName>
    <definedName name="AMP">[3]H_Dasar!#REF!</definedName>
    <definedName name="ASPAL_D">[3]H_Dasar!#REF!</definedName>
    <definedName name="ayom">#REF!</definedName>
    <definedName name="B">'[4]Harga Alat'!#REF!</definedName>
    <definedName name="BAHU_JL">'[3]Analisa pemkot'!#REF!</definedName>
    <definedName name="BANTU">[3]H_Dasar!#REF!</definedName>
    <definedName name="BataKerawang">'[5]Analisa Harga Satuan'!$G$1299</definedName>
    <definedName name="BATU">[3]H_Dasar!#REF!</definedName>
    <definedName name="BATUDASA">[3]H_Dasar!#REF!</definedName>
    <definedName name="BATUDUA">[3]H_Dasar!#REF!</definedName>
    <definedName name="BATULIMA">[3]H_Dasar!#REF!</definedName>
    <definedName name="BATUSATU">[3]H_Dasar!#REF!</definedName>
    <definedName name="Batutengah">[3]H_Dasar!#REF!</definedName>
    <definedName name="BATUTIGA">[3]H_Dasar!#REF!</definedName>
    <definedName name="Boto">[3]H_Dasar!#REF!</definedName>
    <definedName name="CAMP">#REF!</definedName>
    <definedName name="CAT_JBT">'[3]Analisa pemkot'!#REF!</definedName>
    <definedName name="Cat_Kayu">'[5]Analisa Harga Satuan'!$G$2673</definedName>
    <definedName name="Catexterior">'[5]Analisa Harga Satuan'!$G$2699</definedName>
    <definedName name="CatInterior">'[5]Analisa Harga Satuan'!$G$2712</definedName>
    <definedName name="CATMARKA">[3]H_Dasar!#REF!</definedName>
    <definedName name="CatPlafond">'[5]Analisa Harga Satuan'!$G$2725</definedName>
    <definedName name="CDOZER">#REF!</definedName>
    <definedName name="CDT">#REF!</definedName>
    <definedName name="Cermin5mm">'[5]Analisa Harga Satuan'!$G$2286</definedName>
    <definedName name="CEXCAV">#REF!</definedName>
    <definedName name="CFINISHER">#REF!</definedName>
    <definedName name="CGRADER">#REF!</definedName>
    <definedName name="CKOMPRES">#REF!</definedName>
    <definedName name="CLOADER">#REF!</definedName>
    <definedName name="CMIXER">#REF!</definedName>
    <definedName name="compressor">[3]H_Dasar!#REF!</definedName>
    <definedName name="CPIKUP">#REF!</definedName>
    <definedName name="CPOMPA">#REF!</definedName>
    <definedName name="CRANE">[3]H_Dasar!#REF!</definedName>
    <definedName name="CTAMPER">#REF!</definedName>
    <definedName name="CTANDEM">#REF!</definedName>
    <definedName name="CTANGKI">#REF!</definedName>
    <definedName name="CTYRE">#REF!</definedName>
    <definedName name="CVIBRO">#REF!</definedName>
    <definedName name="CVIBRO1TON">#REF!</definedName>
    <definedName name="CVIBROROLLER">#REF!</definedName>
    <definedName name="DATAUPAH">'[4]Harga Alat'!#REF!</definedName>
    <definedName name="DOLKEN10">[3]H_Dasar!#REF!</definedName>
    <definedName name="DOZER">[3]H_Dasar!#REF!</definedName>
    <definedName name="DT">[3]H_Dasar!#REF!</definedName>
    <definedName name="EEE06REV">'[6]5-Peralatan'!$AW$13</definedName>
    <definedName name="EEE09REV1">'[6]5-Peralatan'!$AW$16</definedName>
    <definedName name="EEE17REV">'[6]5-Peralatan'!$AW$24</definedName>
    <definedName name="EEE17REV1">'[6]5-Peralatan'!$AW$24</definedName>
    <definedName name="enelese">#REF!</definedName>
    <definedName name="EXCAV">[3]H_Dasar!#REF!</definedName>
    <definedName name="FILLER">[3]H_Dasar!#REF!</definedName>
    <definedName name="FINISHER">[3]H_Dasar!#REF!</definedName>
    <definedName name="FloorDrain">'[5]Analisa Harga Satuan'!$G$1856</definedName>
    <definedName name="Floorhardener3kg">'[5]Analisa Harga Satuan'!$G$1459</definedName>
    <definedName name="FORM21">'[7]3-DIV2'!$L$1:$V$61</definedName>
    <definedName name="FORM22E">'[7]3-DIV2'!#REF!</definedName>
    <definedName name="FORM22L">'[7]3-DIV2'!$L$121:$V$121</definedName>
    <definedName name="FORM231">'[7]3-DIV2'!$L$123:$V$183</definedName>
    <definedName name="FORM232">'[7]3-DIV2'!$L$243:$V$303</definedName>
    <definedName name="FORM233">'[7]3-DIV2'!$L$363:$V$423</definedName>
    <definedName name="Form234">'[7]3-DIV2'!$L$483:$V$543</definedName>
    <definedName name="Form235">'[7]3-DIV2'!$L$603:$V$663</definedName>
    <definedName name="Form236">'[7]3-DIV2'!$L$854:$V$914</definedName>
    <definedName name="FORM241">'[7]3-DIV2'!#REF!</definedName>
    <definedName name="FORM242">'[7]3-DIV2'!$L$978:$V$1038</definedName>
    <definedName name="FORM243">'[7]3-DIV2'!$L$1039:$V$1100</definedName>
    <definedName name="FORM311">'[8]3-DIV3'!$L$1:$V$61</definedName>
    <definedName name="FORM312">'[8]3-DIV3'!$L$121:$V$181</definedName>
    <definedName name="FORM313">'[8]3-DIV3'!$L$255:$V$315</definedName>
    <definedName name="FORM314">'[8]3-DIV3'!$L$375:$V$435</definedName>
    <definedName name="FORM315">'[8]3-DIV3'!$L$1766:$V$1826</definedName>
    <definedName name="FORM319">'[8]3-DIV3'!$L$1886:$V$1946</definedName>
    <definedName name="FORM322">'[8]3-DIV3'!$L$1947:$V$2007</definedName>
    <definedName name="FORM323">'[8]3-DIV3'!$L$2126:$V$2186</definedName>
    <definedName name="FORM323L">#REF!</definedName>
    <definedName name="FORM324">'[8]3-DIV3'!$L$2305:$V$2365</definedName>
    <definedName name="FORM331">'[8]3-DIV3'!$L$2427:$V$2487</definedName>
    <definedName name="FORM346">'[8]3-DIV3'!$L$2547:$V$2607</definedName>
    <definedName name="FORM421">'[9]3-DIV4'!$L$1:$V$61</definedName>
    <definedName name="FORM422">'[9]3-DIV4'!$L$180:$V$240</definedName>
    <definedName name="FORM423">'[9]3-DIV4'!$L$479:$V$539</definedName>
    <definedName name="FORM424">'[9]3-DIV4'!$L$359:$V$419</definedName>
    <definedName name="FORM425">'[9]3-DIV4'!$L$718:$V$778</definedName>
    <definedName name="FORM426">'[9]3-DIV4'!$L$897:$V$957</definedName>
    <definedName name="FORM427">'[9]3-DIV4'!$L$1017:$V$1077</definedName>
    <definedName name="FORM511">'[10]3-DIV5'!$L$1:$V$61</definedName>
    <definedName name="FORM512">'[10]3-DIV5'!$L$180:$V$240</definedName>
    <definedName name="FORM521">'[10]3-DIV5'!$L$359:$V$419</definedName>
    <definedName name="FORM522">'[10]3-DIV5'!$L$3075:$V$3135</definedName>
    <definedName name="FORM541">'[10]3-DIV5'!$L$3254:$V$3314</definedName>
    <definedName name="FORM542">'[10]3-DIV5'!$L$3374:$V$3434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44">#REF!</definedName>
    <definedName name="FORM745">#REF!</definedName>
    <definedName name="FORM7610">#REF!</definedName>
    <definedName name="FORM7612a">#REF!</definedName>
    <definedName name="FORM7612b">#REF!</definedName>
    <definedName name="FORM7612c">#REF!</definedName>
    <definedName name="FORM7613a">#REF!</definedName>
    <definedName name="FORM7613b">#REF!</definedName>
    <definedName name="FORM7613c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8">#REF!</definedName>
    <definedName name="FORM7619">#REF!</definedName>
    <definedName name="FORM768">#REF!</definedName>
    <definedName name="FORM769">#REF!</definedName>
    <definedName name="FORM76X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GEOTEKSTIL">#REF!</definedName>
    <definedName name="FRRDS">#REF!</definedName>
    <definedName name="Galvanis10">[3]H_Dasar!#REF!</definedName>
    <definedName name="Genset">[3]H_Dasar!#REF!</definedName>
    <definedName name="GentengMetal">'[5]Analisa Harga Satuan'!$G$2627</definedName>
    <definedName name="GLASSBIT">[3]H_Dasar!#REF!</definedName>
    <definedName name="GRADER">[3]H_Dasar!#REF!</definedName>
    <definedName name="Gravel">[3]H_Dasar!#REF!</definedName>
    <definedName name="HAMMER">[3]H_Dasar!#REF!</definedName>
    <definedName name="jagamalam">[3]H_Dasar!#REF!</definedName>
    <definedName name="Jend_1">'[5]Analisa Harga Satuan'!$G$2417</definedName>
    <definedName name="JendBV1">'[5]Analisa Harga Satuan'!$G$2448</definedName>
    <definedName name="JendBV2">'[5]Analisa Harga Satuan'!$G$2456</definedName>
    <definedName name="KANSTEIN">[3]H_Dasar!#REF!</definedName>
    <definedName name="KANSTIN8_24">[3]H_Dasar!#REF!</definedName>
    <definedName name="Kawatlas">[3]H_Dasar!#REF!</definedName>
    <definedName name="KOMPRES">[3]H_Dasar!#REF!</definedName>
    <definedName name="KranAngsa">'[5]Analisa Harga Satuan'!$G$1837</definedName>
    <definedName name="KranShower">'[5]Analisa Harga Satuan'!$G$1780</definedName>
    <definedName name="KRICAK">[3]H_Dasar!#REF!</definedName>
    <definedName name="KUANTITAS">#REF!</definedName>
    <definedName name="KusenPA1">'[5]Analisa Harga Satuan'!$G$2333</definedName>
    <definedName name="KusenPA2">'[5]Analisa Harga Satuan'!$G$2345</definedName>
    <definedName name="KusenPA3">'[5]Analisa Harga Satuan'!$G$2358</definedName>
    <definedName name="KusenPA4">'[5]Analisa Harga Satuan'!$G$2370</definedName>
    <definedName name="KusenPA5">'[5]Analisa Harga Satuan'!$G$2382</definedName>
    <definedName name="KusenPA6">'[5]Analisa Harga Satuan'!$G$2394</definedName>
    <definedName name="KusenPA7">'[5]Analisa Harga Satuan'!$G$2406</definedName>
    <definedName name="KusenPB1Besi">'[5]Analisa Harga Satuan'!$G$2321</definedName>
    <definedName name="LAINLAIN">#REF!</definedName>
    <definedName name="List5cm">'[5]Analisa Harga Satuan'!$G$2522</definedName>
    <definedName name="Listplank330">'[5]Analisa Harga Satuan'!$G$2576</definedName>
    <definedName name="LOADER">[3]H_Dasar!#REF!</definedName>
    <definedName name="MATAKUCING">[3]H_Dasar!#REF!</definedName>
    <definedName name="MATERIAL">'[4]Harga Alat'!#REF!</definedName>
    <definedName name="MGRADER">#REF!</definedName>
    <definedName name="MINOR">#REF!</definedName>
    <definedName name="Minyaktanah">#REF!</definedName>
    <definedName name="MIXER">[3]H_Dasar!#REF!</definedName>
    <definedName name="MIXERKCL">[3]H_Dasar!#REF!</definedName>
    <definedName name="MIXERMOBIL">[3]H_Dasar!#REF!</definedName>
    <definedName name="MMM17A">'[4]Harga Alat'!#REF!</definedName>
    <definedName name="MMM35A">'[4]Harga Alat'!#REF!</definedName>
    <definedName name="MOBILISASI">#REF!</definedName>
    <definedName name="NokGentengMetal">'[5]Analisa Harga Satuan'!$G$2637</definedName>
    <definedName name="PAKU">[3]H_Dasar!#REF!</definedName>
    <definedName name="PANCANG30">[3]H_Dasar!#REF!</definedName>
    <definedName name="PANCANG40">[3]H_Dasar!#REF!</definedName>
    <definedName name="PapanRuiter">'[5]Analisa Harga Satuan'!$G$2596</definedName>
    <definedName name="PASIR">[3]H_Dasar!#REF!</definedName>
    <definedName name="PASIRBETON">[3]H_Dasar!#REF!</definedName>
    <definedName name="PASIRURUG">[3]H_Dasar!#REF!</definedName>
    <definedName name="Pelumashidrolis">#REF!</definedName>
    <definedName name="Pelumasmesin">#REF!</definedName>
    <definedName name="Pembongkaran">[11]NP!$L$841:$V$901</definedName>
    <definedName name="PICKUP">[3]H_Dasar!#REF!</definedName>
    <definedName name="PILIHAN">[3]H_Dasar!#REF!</definedName>
    <definedName name="PlafondGRC4mm">'[5]Analisa Harga Satuan'!$G$2490</definedName>
    <definedName name="PlafondGypsumRHollow">'[5]Analisa Harga Satuan'!$G$2501</definedName>
    <definedName name="Ples13_15cm">'[5]Analisa Harga Satuan'!$G$1529</definedName>
    <definedName name="Ples16_15cm">'[5]Analisa Harga Satuan'!$G$1571</definedName>
    <definedName name="Plest_Screet13_35cm">'[5]Analisa Harga Satuan'!$G$1655</definedName>
    <definedName name="Plint1030">'[5]Analisa Harga Satuan'!$G$1736</definedName>
    <definedName name="POMPA">[3]H_Dasar!#REF!</definedName>
    <definedName name="_xlnm.Print_Area" localSheetId="3">'A. elektrikal'!$A$1:$F$106</definedName>
    <definedName name="_xlnm.Print_Area" localSheetId="4">'B. Plumbing'!$A$1:$F$117</definedName>
    <definedName name="_xlnm.Print_Area" localSheetId="1">'RAB INFRA'!$A$1:$L$773</definedName>
    <definedName name="_xlnm.Print_Area" localSheetId="0">'Rekap TOTAL'!$A$1:$E$51</definedName>
    <definedName name="_xlnm.Print_Area">#REF!</definedName>
    <definedName name="_xlnm.Print_Titles" localSheetId="3">'A. elektrikal'!$7:$7</definedName>
    <definedName name="_xlnm.Print_Titles" localSheetId="4">'B. Plumbing'!$7:$7</definedName>
    <definedName name="_xlnm.Print_Titles" localSheetId="1">'RAB INFRA'!$7:$10</definedName>
    <definedName name="_xlnm.Print_Titles" localSheetId="0">'Rekap TOTAL'!$1:$9</definedName>
    <definedName name="PSG_BAJA">'[3]Analisa pemkot'!#REF!</definedName>
    <definedName name="PTJW">#REF!</definedName>
    <definedName name="RAB">#REF!</definedName>
    <definedName name="recordpapper">[3]H_Dasar!#REF!</definedName>
    <definedName name="REKAP">#REF!</definedName>
    <definedName name="REPAVING">'[3]Analisa pemkot'!#REF!</definedName>
    <definedName name="RODABESI">[3]H_Dasar!#REF!</definedName>
    <definedName name="RODAKARET">[3]H_Dasar!#REF!</definedName>
    <definedName name="RODATIGA">[3]H_Dasar!#REF!</definedName>
    <definedName name="RUTIN">#REF!</definedName>
    <definedName name="san">#REF!</definedName>
    <definedName name="SIRTU">[3]H_Dasar!#REF!</definedName>
    <definedName name="SPRAYER">[3]H_Dasar!#REF!</definedName>
    <definedName name="stamper">[3]H_Dasar!#REF!</definedName>
    <definedName name="STRUKTUR">#REF!</definedName>
    <definedName name="TANAH">#REF!</definedName>
    <definedName name="TANAH_URUG">[3]H_Dasar!#REF!</definedName>
    <definedName name="TANGKI">[3]H_Dasar!#REF!</definedName>
    <definedName name="tenagalokal">[3]H_Dasar!#REF!</definedName>
    <definedName name="TNHURG">[3]H_Dasar!#REF!</definedName>
    <definedName name="TRAILER">[3]H_Dasar!#REF!</definedName>
    <definedName name="transplokal">[3]H_Dasar!#REF!</definedName>
    <definedName name="TRUK">[3]H_Dasar!#REF!</definedName>
    <definedName name="Tukanglas">[3]H_Dasar!#REF!</definedName>
    <definedName name="TUTUP_SAL">'[3]Analisa pemkot'!#REF!</definedName>
    <definedName name="U">[3]daf_H_sat!#REF!</definedName>
    <definedName name="UACUAN">'[3]Analisa pemkot'!#REF!</definedName>
    <definedName name="UAGR1A">'[3]Analisa pemkot'!#REF!</definedName>
    <definedName name="UAGR1B">'[3]Analisa pemkot'!#REF!</definedName>
    <definedName name="UB0L">'[3]Analisa pemkot'!#REF!</definedName>
    <definedName name="UBAHU">'[3]Analisa pemkot'!#REF!</definedName>
    <definedName name="UBERSIH">'[3]Analisa pemkot'!#REF!</definedName>
    <definedName name="UBONGKAR">'[3]Analisa pemkot'!#REF!</definedName>
    <definedName name="UBONGKARPAS">'[3]Analisa pemkot'!#REF!</definedName>
    <definedName name="UBOX06">'[3]Analisa pemkot'!#REF!</definedName>
    <definedName name="UBOX08">'[3]Analisa pemkot'!#REF!</definedName>
    <definedName name="UBOX1">'[3]Analisa pemkot'!#REF!</definedName>
    <definedName name="UBOX15">'[3]Analisa pemkot'!#REF!</definedName>
    <definedName name="UBRONJONG">'[3]Analisa pemkot'!#REF!</definedName>
    <definedName name="UBULAT10A">'[3]Analisa pemkot'!#REF!</definedName>
    <definedName name="UBULAT10B">'[3]Analisa pemkot'!#REF!</definedName>
    <definedName name="UBULAT60A">'[3]Analisa pemkot'!#REF!</definedName>
    <definedName name="UBULAT60B">'[3]Analisa pemkot'!#REF!</definedName>
    <definedName name="UBULAT80A">'[3]Analisa pemkot'!#REF!</definedName>
    <definedName name="UBULAT80B">'[3]Analisa pemkot'!#REF!</definedName>
    <definedName name="UCRUCUK">'[3]Analisa pemkot'!#REF!</definedName>
    <definedName name="UCRUCUKBAMBU">'[3]Analisa pemkot'!#REF!</definedName>
    <definedName name="udin">#REF!</definedName>
    <definedName name="UDUA">[3]H_Dasar!#REF!</definedName>
    <definedName name="UGALIBUANG">'[3]Analisa pemkot'!#REF!</definedName>
    <definedName name="UGALILUMPUR">'[3]Analisa pemkot'!#REF!</definedName>
    <definedName name="UGALIPADAS">'[3]Analisa pemkot'!#REF!</definedName>
    <definedName name="UGALITEMPAT">'[3]Analisa pemkot'!#REF!</definedName>
    <definedName name="UGOTU60">'[3]Analisa pemkot'!#REF!</definedName>
    <definedName name="UK300_350">'[3]Analisa pemkot'!#REF!</definedName>
    <definedName name="UKERB">'[3]Analisa pemkot'!#REF!</definedName>
    <definedName name="UKERB_A">'[3]Analisa pemkot'!#REF!</definedName>
    <definedName name="ULAPEN50">'[3]Analisa pemkot'!#REF!</definedName>
    <definedName name="ULAPEN75">'[3]Analisa pemkot'!#REF!</definedName>
    <definedName name="ULENENG">'[3]Analisa pemkot'!#REF!</definedName>
    <definedName name="UMARKA">'[3]Analisa pemkot'!#REF!</definedName>
    <definedName name="UPAS_14_PSRBTN">'[3]Analisa pemkot'!#REF!</definedName>
    <definedName name="UPAS13">'[3]Analisa pemkot'!#REF!</definedName>
    <definedName name="UPAS14">'[3]Analisa pemkot'!#REF!</definedName>
    <definedName name="UPAS15">'[3]Analisa pemkot'!#REF!</definedName>
    <definedName name="UPAS15_PSRBTN">'[3]Analisa pemkot'!#REF!</definedName>
    <definedName name="UPASIRURUG">'[3]Analisa pemkot'!#REF!</definedName>
    <definedName name="UPAV6W">'[3]Analisa pemkot'!#REF!</definedName>
    <definedName name="UPAVING">'[3]Analisa pemkot'!#REF!</definedName>
    <definedName name="UPAVJL10">'[3]Analisa pemkot'!#REF!</definedName>
    <definedName name="UPAVJL10W">'[3]Analisa pemkot'!#REF!</definedName>
    <definedName name="UPAVJL6">'[3]Analisa pemkot'!#REF!</definedName>
    <definedName name="UPAVJL8">'[3]Analisa pemkot'!#REF!</definedName>
    <definedName name="UPAVJL8W">'[3]Analisa pemkot'!#REF!</definedName>
    <definedName name="UPAVTROW">'[3]Analisa pemkot'!#REF!</definedName>
    <definedName name="UPERANC1">'[3]Analisa pemkot'!#REF!</definedName>
    <definedName name="UPERANC2">'[3]Analisa pemkot'!#REF!</definedName>
    <definedName name="UPLAT1">'[3]Analisa pemkot'!#REF!</definedName>
    <definedName name="UPLATTTP">'[3]Analisa pemkot'!#REF!</definedName>
    <definedName name="UPLEST13">'[3]Analisa pemkot'!#REF!</definedName>
    <definedName name="UPLEST13A">'[3]Analisa pemkot'!#REF!</definedName>
    <definedName name="UPRIME">'[3]Analisa pemkot'!#REF!</definedName>
    <definedName name="URAIAN">'[7]3-DIV2'!$A$1:$J$1101</definedName>
    <definedName name="URAIAN21">'[7]3-DIV2'!$A$1:$J$121</definedName>
    <definedName name="URAIAN22E">'[7]3-DIV2'!$A$122:$J$123</definedName>
    <definedName name="URAIAN22L">'[7]3-DIV2'!#REF!</definedName>
    <definedName name="URAIAN231">'[7]3-DIV2'!$A$124:$J$243</definedName>
    <definedName name="URAIAN232">'[7]3-DIV2'!$A$244:$J$363</definedName>
    <definedName name="URAIAN233">'[7]3-DIV2'!$A$364:$J$483</definedName>
    <definedName name="Uraian234">'[7]3-DIV2'!$A$484:$J$603</definedName>
    <definedName name="Uraian235">'[7]3-DIV2'!$A$604:$J$854</definedName>
    <definedName name="Uraian236">'[7]3-DIV2'!$A$855:$J$973</definedName>
    <definedName name="URAIAN241">'[7]3-DIV2'!$A$974:$J$978</definedName>
    <definedName name="URAIAN242">'[7]3-DIV2'!$A$979:$J$1039</definedName>
    <definedName name="URAIAN243">'[7]3-DIV2'!$A$1040:$J$1101</definedName>
    <definedName name="Uraian311">'[8]3-DIV3'!$A$1:$J$120</definedName>
    <definedName name="Uraian312">'[8]3-DIV3'!$A$121:$J$240</definedName>
    <definedName name="Uraian313">'[8]3-DIV3'!$A$255:$J$374</definedName>
    <definedName name="Uraian314">'[8]3-DIV3'!$A$375:$J$494</definedName>
    <definedName name="Uraian315">'[8]3-DIV3'!$A$1766:$J$1885</definedName>
    <definedName name="Uraian319">'[8]3-DIV3'!$A$1886:$J$1946</definedName>
    <definedName name="Uraian322">'[8]3-DIV3'!$A$1947:$J$2127</definedName>
    <definedName name="Uraian323">'[8]3-DIV3'!$A$2128:$J$2306</definedName>
    <definedName name="URAIAN323L">#REF!</definedName>
    <definedName name="Uraian324">'[8]3-DIV3'!$A$2307:$J$2428</definedName>
    <definedName name="Uraian331">'[8]3-DIV3'!$A$2429:$J$2548</definedName>
    <definedName name="Uraian346">'[8]3-DIV3'!$A$2549:$J$2609</definedName>
    <definedName name="URAIAN421">'[9]3-DIV4'!$A$1:$J$179</definedName>
    <definedName name="URAIAN422">'[9]3-DIV4'!$A$180:$J$358</definedName>
    <definedName name="URAIAN423">'[9]3-DIV4'!$A$479:$J$717</definedName>
    <definedName name="URAIAN424">'[9]3-DIV4'!$A$359:$J$478</definedName>
    <definedName name="URAIAN425">'[9]3-DIV4'!$A$718:$J$896</definedName>
    <definedName name="URAIAN426">'[9]3-DIV4'!$A$897:$J$1016</definedName>
    <definedName name="URAIAN427">'[9]3-DIV4'!$A$1017:$J$1136</definedName>
    <definedName name="URAIAN511">'[10]3-DIV5'!$A$1:$J$179</definedName>
    <definedName name="URAIAN512">'[10]3-DIV5'!$A$180:$J$358</definedName>
    <definedName name="URAIAN521">'[10]3-DIV5'!$A$359:$J$537</definedName>
    <definedName name="URAIAN522">'[10]3-DIV5'!$A$3075:$J$3253</definedName>
    <definedName name="URAIAN541">'[10]3-DIV5'!$A$3254:$J$3373</definedName>
    <definedName name="URAIAN542">'[10]3-DIV5'!$A$3374:$J$3612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44">#REF!</definedName>
    <definedName name="URAIAN745">#REF!</definedName>
    <definedName name="URAIAN7610">#REF!</definedName>
    <definedName name="URAIAN7612a">#REF!</definedName>
    <definedName name="URAIAN7612b">#REF!</definedName>
    <definedName name="URAIAN7612c">#REF!</definedName>
    <definedName name="URAIAN7613a">#REF!</definedName>
    <definedName name="URAIAN7613b">#REF!</definedName>
    <definedName name="URAIAN7613c">#REF!</definedName>
    <definedName name="URAIAN7614a">#REF!</definedName>
    <definedName name="URAIAN7614b">#REF!</definedName>
    <definedName name="URAIAN7614d">#REF!</definedName>
    <definedName name="URAIAN7614e">#REF!</definedName>
    <definedName name="URAIAN7618">#REF!</definedName>
    <definedName name="URAIAN7619">#REF!</definedName>
    <definedName name="URAIAN768">#REF!</definedName>
    <definedName name="URAIAN769">#REF!</definedName>
    <definedName name="URAIAN76x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GEOTEKSTIL">#REF!</definedName>
    <definedName name="URAMBU1">'[3]Analisa pemkot'!#REF!</definedName>
    <definedName name="URAMBU2">'[3]Analisa pemkot'!#REF!</definedName>
    <definedName name="USIAR13">'[3]Analisa pemkot'!#REF!</definedName>
    <definedName name="USIKLOP">'[3]Analisa pemkot'!#REF!</definedName>
    <definedName name="USPON">'[3]Analisa pemkot'!#REF!</definedName>
    <definedName name="UTAIAN7614c">#REF!</definedName>
    <definedName name="UTEAK">'[3]Analisa pemkot'!#REF!</definedName>
    <definedName name="UTELFORD15">'[3]Analisa pemkot'!#REF!</definedName>
    <definedName name="UTIGA">[3]H_Dasar!#REF!</definedName>
    <definedName name="UTIMBPILIHS">'[3]Analisa pemkot'!#REF!</definedName>
    <definedName name="UTIMBTEMPAT">'[3]Analisa pemkot'!#REF!</definedName>
    <definedName name="UTIMBUN">'[3]Analisa pemkot'!#REF!</definedName>
    <definedName name="UTNHDSR">'[3]Analisa pemkot'!#REF!</definedName>
    <definedName name="UTUL24">'[3]Analisa pemkot'!#REF!</definedName>
    <definedName name="UTUL32">'[3]Analisa pemkot'!#REF!</definedName>
    <definedName name="UURUGSTRUK">'[3]Analisa pemkot'!#REF!</definedName>
    <definedName name="VIBRATOR">[3]H_Dasar!#REF!</definedName>
    <definedName name="VIBROROLLER">[3]H_Dasar!#REF!</definedName>
  </definedNames>
  <calcPr calcId="191029"/>
</workbook>
</file>

<file path=xl/calcChain.xml><?xml version="1.0" encoding="utf-8"?>
<calcChain xmlns="http://schemas.openxmlformats.org/spreadsheetml/2006/main">
  <c r="K772" i="44" l="1"/>
  <c r="K771" i="44"/>
  <c r="K770" i="44"/>
  <c r="K769" i="44"/>
  <c r="K768" i="44"/>
  <c r="K767" i="44"/>
  <c r="K765" i="44"/>
  <c r="K764" i="44"/>
  <c r="K763" i="44"/>
  <c r="K762" i="44"/>
  <c r="K761" i="44"/>
  <c r="K759" i="44"/>
  <c r="K758" i="44"/>
  <c r="K757" i="44"/>
  <c r="K756" i="44"/>
  <c r="K755" i="44"/>
  <c r="K754" i="44"/>
  <c r="K753" i="44"/>
  <c r="K752" i="44"/>
  <c r="K747" i="44"/>
  <c r="K746" i="44"/>
  <c r="K745" i="44"/>
  <c r="K740" i="44"/>
  <c r="K739" i="44"/>
  <c r="K738" i="44"/>
  <c r="K737" i="44"/>
  <c r="K736" i="44"/>
  <c r="K735" i="44"/>
  <c r="K734" i="44"/>
  <c r="K733" i="44"/>
  <c r="K732" i="44"/>
  <c r="K731" i="44"/>
  <c r="K730" i="44"/>
  <c r="K729" i="44"/>
  <c r="K728" i="44"/>
  <c r="K727" i="44"/>
  <c r="K726" i="44"/>
  <c r="K725" i="44"/>
  <c r="K724" i="44"/>
  <c r="K723" i="44"/>
  <c r="K722" i="44"/>
  <c r="K720" i="44"/>
  <c r="K719" i="44"/>
  <c r="K718" i="44"/>
  <c r="K717" i="44"/>
  <c r="K716" i="44"/>
  <c r="K715" i="44"/>
  <c r="K714" i="44"/>
  <c r="K713" i="44"/>
  <c r="K712" i="44"/>
  <c r="K711" i="44"/>
  <c r="K710" i="44"/>
  <c r="K709" i="44"/>
  <c r="K708" i="44"/>
  <c r="K707" i="44"/>
  <c r="K706" i="44"/>
  <c r="K705" i="44"/>
  <c r="K704" i="44"/>
  <c r="K703" i="44"/>
  <c r="K702" i="44"/>
  <c r="K701" i="44"/>
  <c r="K700" i="44"/>
  <c r="K699" i="44"/>
  <c r="K698" i="44"/>
  <c r="K697" i="44"/>
  <c r="K696" i="44"/>
  <c r="K695" i="44"/>
  <c r="K694" i="44"/>
  <c r="K693" i="44"/>
  <c r="K692" i="44"/>
  <c r="K691" i="44"/>
  <c r="K690" i="44"/>
  <c r="K689" i="44"/>
  <c r="K688" i="44"/>
  <c r="K687" i="44"/>
  <c r="K686" i="44"/>
  <c r="K685" i="44"/>
  <c r="K684" i="44"/>
  <c r="K683" i="44"/>
  <c r="K682" i="44"/>
  <c r="K681" i="44"/>
  <c r="K680" i="44"/>
  <c r="K678" i="44"/>
  <c r="K677" i="44"/>
  <c r="K676" i="44"/>
  <c r="K674" i="44"/>
  <c r="K673" i="44"/>
  <c r="K672" i="44"/>
  <c r="K671" i="44"/>
  <c r="K670" i="44"/>
  <c r="K665" i="44"/>
  <c r="K664" i="44"/>
  <c r="K663" i="44"/>
  <c r="K662" i="44"/>
  <c r="K661" i="44"/>
  <c r="K660" i="44"/>
  <c r="K659" i="44"/>
  <c r="K658" i="44"/>
  <c r="K656" i="44"/>
  <c r="K655" i="44"/>
  <c r="K654" i="44"/>
  <c r="K653" i="44"/>
  <c r="K652" i="44"/>
  <c r="K649" i="44"/>
  <c r="K648" i="44"/>
  <c r="K647" i="44"/>
  <c r="K646" i="44"/>
  <c r="K645" i="44"/>
  <c r="K644" i="44"/>
  <c r="K643" i="44"/>
  <c r="K642" i="44"/>
  <c r="K640" i="44"/>
  <c r="K639" i="44"/>
  <c r="K638" i="44"/>
  <c r="K637" i="44"/>
  <c r="K636" i="44"/>
  <c r="K635" i="44"/>
  <c r="K630" i="44"/>
  <c r="K629" i="44"/>
  <c r="K628" i="44"/>
  <c r="K627" i="44"/>
  <c r="K626" i="44"/>
  <c r="K625" i="44"/>
  <c r="K624" i="44"/>
  <c r="K623" i="44"/>
  <c r="K622" i="44"/>
  <c r="K621" i="44"/>
  <c r="K620" i="44"/>
  <c r="K619" i="44"/>
  <c r="K618" i="44"/>
  <c r="K617" i="44"/>
  <c r="K616" i="44"/>
  <c r="K615" i="44"/>
  <c r="K614" i="44"/>
  <c r="K613" i="44"/>
  <c r="K612" i="44"/>
  <c r="K605" i="44"/>
  <c r="K604" i="44"/>
  <c r="K603" i="44"/>
  <c r="K602" i="44"/>
  <c r="K601" i="44"/>
  <c r="K600" i="44"/>
  <c r="K599" i="44"/>
  <c r="K598" i="44"/>
  <c r="K597" i="44"/>
  <c r="K596" i="44"/>
  <c r="K595" i="44"/>
  <c r="K594" i="44"/>
  <c r="K593" i="44"/>
  <c r="K592" i="44"/>
  <c r="K591" i="44"/>
  <c r="K587" i="44"/>
  <c r="K586" i="44"/>
  <c r="K585" i="44"/>
  <c r="K584" i="44"/>
  <c r="K583" i="44"/>
  <c r="K582" i="44"/>
  <c r="K581" i="44"/>
  <c r="K580" i="44"/>
  <c r="K576" i="44"/>
  <c r="K575" i="44"/>
  <c r="K574" i="44"/>
  <c r="K572" i="44"/>
  <c r="K571" i="44"/>
  <c r="K570" i="44"/>
  <c r="K568" i="44"/>
  <c r="K567" i="44"/>
  <c r="K566" i="44"/>
  <c r="K564" i="44"/>
  <c r="K560" i="44"/>
  <c r="K559" i="44"/>
  <c r="K558" i="44"/>
  <c r="K557" i="44"/>
  <c r="K556" i="44"/>
  <c r="K555" i="44"/>
  <c r="K554" i="44"/>
  <c r="K552" i="44"/>
  <c r="K551" i="44"/>
  <c r="K550" i="44"/>
  <c r="K549" i="44"/>
  <c r="K548" i="44"/>
  <c r="K547" i="44"/>
  <c r="K546" i="44"/>
  <c r="K545" i="44"/>
  <c r="K544" i="44"/>
  <c r="K543" i="44"/>
  <c r="K542" i="44"/>
  <c r="K541" i="44"/>
  <c r="K540" i="44"/>
  <c r="K539" i="44"/>
  <c r="K538" i="44"/>
  <c r="K537" i="44"/>
  <c r="K536" i="44"/>
  <c r="K535" i="44"/>
  <c r="K534" i="44"/>
  <c r="K532" i="44"/>
  <c r="K531" i="44"/>
  <c r="K530" i="44"/>
  <c r="K529" i="44"/>
  <c r="K528" i="44"/>
  <c r="K527" i="44"/>
  <c r="K526" i="44"/>
  <c r="K525" i="44"/>
  <c r="K524" i="44"/>
  <c r="K523" i="44"/>
  <c r="K522" i="44"/>
  <c r="K521" i="44"/>
  <c r="K520" i="44"/>
  <c r="K519" i="44"/>
  <c r="K518" i="44"/>
  <c r="K517" i="44"/>
  <c r="K516" i="44"/>
  <c r="K514" i="44"/>
  <c r="K513" i="44"/>
  <c r="K512" i="44"/>
  <c r="K511" i="44"/>
  <c r="K510" i="44"/>
  <c r="K509" i="44"/>
  <c r="K508" i="44"/>
  <c r="K507" i="44"/>
  <c r="K506" i="44"/>
  <c r="K505" i="44"/>
  <c r="K504" i="44"/>
  <c r="K503" i="44"/>
  <c r="K502" i="44"/>
  <c r="K501" i="44"/>
  <c r="K500" i="44"/>
  <c r="K496" i="44"/>
  <c r="K495" i="44"/>
  <c r="K494" i="44"/>
  <c r="K493" i="44"/>
  <c r="K492" i="44"/>
  <c r="K491" i="44"/>
  <c r="K490" i="44"/>
  <c r="K488" i="44"/>
  <c r="K487" i="44"/>
  <c r="K486" i="44"/>
  <c r="K485" i="44"/>
  <c r="K484" i="44"/>
  <c r="K483" i="44"/>
  <c r="K482" i="44"/>
  <c r="K481" i="44"/>
  <c r="K480" i="44"/>
  <c r="K479" i="44"/>
  <c r="K478" i="44"/>
  <c r="K477" i="44"/>
  <c r="K473" i="44"/>
  <c r="K472" i="44"/>
  <c r="K471" i="44"/>
  <c r="K470" i="44"/>
  <c r="K469" i="44"/>
  <c r="K468" i="44"/>
  <c r="K467" i="44"/>
  <c r="K466" i="44"/>
  <c r="K465" i="44"/>
  <c r="K464" i="44"/>
  <c r="K463" i="44"/>
  <c r="K462" i="44"/>
  <c r="K461" i="44"/>
  <c r="K460" i="44"/>
  <c r="K459" i="44"/>
  <c r="K458" i="44"/>
  <c r="K457" i="44"/>
  <c r="K456" i="44"/>
  <c r="K455" i="44"/>
  <c r="K454" i="44"/>
  <c r="K453" i="44"/>
  <c r="K452" i="44"/>
  <c r="K451" i="44"/>
  <c r="K450" i="44"/>
  <c r="K449" i="44"/>
  <c r="K448" i="44"/>
  <c r="K447" i="44"/>
  <c r="K443" i="44"/>
  <c r="K442" i="44"/>
  <c r="K441" i="44"/>
  <c r="K440" i="44"/>
  <c r="K439" i="44"/>
  <c r="K438" i="44"/>
  <c r="K437" i="44"/>
  <c r="K436" i="44"/>
  <c r="K435" i="44"/>
  <c r="K434" i="44"/>
  <c r="K433" i="44"/>
  <c r="K432" i="44"/>
  <c r="K431" i="44"/>
  <c r="K430" i="44"/>
  <c r="K429" i="44"/>
  <c r="K428" i="44"/>
  <c r="K427" i="44"/>
  <c r="K426" i="44"/>
  <c r="K425" i="44"/>
  <c r="K424" i="44"/>
  <c r="K423" i="44"/>
  <c r="K422" i="44"/>
  <c r="K421" i="44"/>
  <c r="K420" i="44"/>
  <c r="K419" i="44"/>
  <c r="K418" i="44"/>
  <c r="K417" i="44"/>
  <c r="K416" i="44"/>
  <c r="K415" i="44"/>
  <c r="K414" i="44"/>
  <c r="K410" i="44"/>
  <c r="K409" i="44"/>
  <c r="K408" i="44"/>
  <c r="K407" i="44"/>
  <c r="K406" i="44"/>
  <c r="K405" i="44"/>
  <c r="K404" i="44"/>
  <c r="K403" i="44"/>
  <c r="K402" i="44"/>
  <c r="K401" i="44"/>
  <c r="K400" i="44"/>
  <c r="K399" i="44"/>
  <c r="K398" i="44"/>
  <c r="K397" i="44"/>
  <c r="K396" i="44"/>
  <c r="K395" i="44"/>
  <c r="K394" i="44"/>
  <c r="K393" i="44"/>
  <c r="K392" i="44"/>
  <c r="K390" i="44"/>
  <c r="K389" i="44"/>
  <c r="K388" i="44"/>
  <c r="K387" i="44"/>
  <c r="K386" i="44"/>
  <c r="K385" i="44"/>
  <c r="K384" i="44"/>
  <c r="K383" i="44"/>
  <c r="K382" i="44"/>
  <c r="K381" i="44"/>
  <c r="K380" i="44"/>
  <c r="K379" i="44"/>
  <c r="K378" i="44"/>
  <c r="K377" i="44"/>
  <c r="K376" i="44"/>
  <c r="K375" i="44"/>
  <c r="K374" i="44"/>
  <c r="K373" i="44"/>
  <c r="K372" i="44"/>
  <c r="K370" i="44"/>
  <c r="K369" i="44"/>
  <c r="K368" i="44"/>
  <c r="K367" i="44"/>
  <c r="K366" i="44"/>
  <c r="K365" i="44"/>
  <c r="K364" i="44"/>
  <c r="K363" i="44"/>
  <c r="K362" i="44"/>
  <c r="K361" i="44"/>
  <c r="K360" i="44"/>
  <c r="K359" i="44"/>
  <c r="K358" i="44"/>
  <c r="K357" i="44"/>
  <c r="K356" i="44"/>
  <c r="K355" i="44"/>
  <c r="K354" i="44"/>
  <c r="K353" i="44"/>
  <c r="K352" i="44"/>
  <c r="K351" i="44"/>
  <c r="K350" i="44"/>
  <c r="K346" i="44"/>
  <c r="K345" i="44"/>
  <c r="K344" i="44"/>
  <c r="K343" i="44"/>
  <c r="K342" i="44"/>
  <c r="K341" i="44"/>
  <c r="K340" i="44"/>
  <c r="K339" i="44"/>
  <c r="K338" i="44"/>
  <c r="K334" i="44"/>
  <c r="K333" i="44"/>
  <c r="K332" i="44"/>
  <c r="K331" i="44"/>
  <c r="K330" i="44"/>
  <c r="K329" i="44"/>
  <c r="K328" i="44"/>
  <c r="K327" i="44"/>
  <c r="K326" i="44"/>
  <c r="K325" i="44"/>
  <c r="K324" i="44"/>
  <c r="K323" i="44"/>
  <c r="K322" i="44"/>
  <c r="K320" i="44"/>
  <c r="K319" i="44"/>
  <c r="K318" i="44"/>
  <c r="K317" i="44"/>
  <c r="K316" i="44"/>
  <c r="K315" i="44"/>
  <c r="K314" i="44"/>
  <c r="K313" i="44"/>
  <c r="K312" i="44"/>
  <c r="K311" i="44"/>
  <c r="K307" i="44"/>
  <c r="K306" i="44"/>
  <c r="K305" i="44"/>
  <c r="K304" i="44"/>
  <c r="K303" i="44"/>
  <c r="K302" i="44"/>
  <c r="K301" i="44"/>
  <c r="K300" i="44"/>
  <c r="K299" i="44"/>
  <c r="K298" i="44"/>
  <c r="K297" i="44"/>
  <c r="K296" i="44"/>
  <c r="K295" i="44"/>
  <c r="K293" i="44"/>
  <c r="K292" i="44"/>
  <c r="K291" i="44"/>
  <c r="K290" i="44"/>
  <c r="K289" i="44"/>
  <c r="K286" i="44"/>
  <c r="K285" i="44"/>
  <c r="K284" i="44"/>
  <c r="K283" i="44"/>
  <c r="K282" i="44"/>
  <c r="K280" i="44"/>
  <c r="K279" i="44"/>
  <c r="K278" i="44"/>
  <c r="K277" i="44"/>
  <c r="K276" i="44"/>
  <c r="K275" i="44"/>
  <c r="K274" i="44"/>
  <c r="K273" i="44"/>
  <c r="K272" i="44"/>
  <c r="K271" i="44"/>
  <c r="K270" i="44"/>
  <c r="K269" i="44"/>
  <c r="K268" i="44"/>
  <c r="K266" i="44"/>
  <c r="K265" i="44"/>
  <c r="K264" i="44"/>
  <c r="K263" i="44"/>
  <c r="K262" i="44"/>
  <c r="K259" i="44"/>
  <c r="K258" i="44"/>
  <c r="K257" i="44"/>
  <c r="K256" i="44"/>
  <c r="K255" i="44"/>
  <c r="K253" i="44"/>
  <c r="K252" i="44"/>
  <c r="K251" i="44"/>
  <c r="K250" i="44"/>
  <c r="K249" i="44"/>
  <c r="K248" i="44"/>
  <c r="K247" i="44"/>
  <c r="K246" i="44"/>
  <c r="K245" i="44"/>
  <c r="K244" i="44"/>
  <c r="K243" i="44"/>
  <c r="K242" i="44"/>
  <c r="K240" i="44"/>
  <c r="K239" i="44"/>
  <c r="K238" i="44"/>
  <c r="K237" i="44"/>
  <c r="K236" i="44"/>
  <c r="K233" i="44"/>
  <c r="K232" i="44"/>
  <c r="K231" i="44"/>
  <c r="K230" i="44"/>
  <c r="K229" i="44"/>
  <c r="K227" i="44"/>
  <c r="K226" i="44"/>
  <c r="K225" i="44"/>
  <c r="K224" i="44"/>
  <c r="K223" i="44"/>
  <c r="K222" i="44"/>
  <c r="K221" i="44"/>
  <c r="K220" i="44"/>
  <c r="K219" i="44"/>
  <c r="K218" i="44"/>
  <c r="K217" i="44"/>
  <c r="K216" i="44"/>
  <c r="K215" i="44"/>
  <c r="K213" i="44"/>
  <c r="K212" i="44"/>
  <c r="K211" i="44"/>
  <c r="K210" i="44"/>
  <c r="K209" i="44"/>
  <c r="K204" i="44"/>
  <c r="K203" i="44"/>
  <c r="K202" i="44"/>
  <c r="K201" i="44"/>
  <c r="K200" i="44"/>
  <c r="K199" i="44"/>
  <c r="K198" i="44"/>
  <c r="K197" i="44"/>
  <c r="K196" i="44"/>
  <c r="K195" i="44"/>
  <c r="K194" i="44"/>
  <c r="K193" i="44"/>
  <c r="K192" i="44"/>
  <c r="K191" i="44"/>
  <c r="K187" i="44"/>
  <c r="K186" i="44"/>
  <c r="K185" i="44"/>
  <c r="K184" i="44"/>
  <c r="K183" i="44"/>
  <c r="K182" i="44"/>
  <c r="K181" i="44"/>
  <c r="K180" i="44"/>
  <c r="K179" i="44"/>
  <c r="K178" i="44"/>
  <c r="K177" i="44"/>
  <c r="K176" i="44"/>
  <c r="K175" i="44"/>
  <c r="K174" i="44"/>
  <c r="K173" i="44"/>
  <c r="K172" i="44"/>
  <c r="K171" i="44"/>
  <c r="K170" i="44"/>
  <c r="K169" i="44"/>
  <c r="K168" i="44"/>
  <c r="K167" i="44"/>
  <c r="K163" i="44"/>
  <c r="K162" i="44"/>
  <c r="K161" i="44"/>
  <c r="K160" i="44"/>
  <c r="K159" i="44"/>
  <c r="K158" i="44"/>
  <c r="K157" i="44"/>
  <c r="K156" i="44"/>
  <c r="K154" i="44"/>
  <c r="K153" i="44"/>
  <c r="K152" i="44"/>
  <c r="K151" i="44"/>
  <c r="K150" i="44"/>
  <c r="K149" i="44"/>
  <c r="K148" i="44"/>
  <c r="K147" i="44"/>
  <c r="K145" i="44"/>
  <c r="K144" i="44"/>
  <c r="K143" i="44"/>
  <c r="K142" i="44"/>
  <c r="K141" i="44"/>
  <c r="K140" i="44"/>
  <c r="K139" i="44"/>
  <c r="K138" i="44"/>
  <c r="K137" i="44"/>
  <c r="K136" i="44"/>
  <c r="K132" i="44"/>
  <c r="K131" i="44"/>
  <c r="K130" i="44"/>
  <c r="K129" i="44"/>
  <c r="K128" i="44"/>
  <c r="K127" i="44"/>
  <c r="K126" i="44"/>
  <c r="K125" i="44"/>
  <c r="K123" i="44"/>
  <c r="K122" i="44"/>
  <c r="K121" i="44"/>
  <c r="K120" i="44"/>
  <c r="K119" i="44"/>
  <c r="K118" i="44"/>
  <c r="K117" i="44"/>
  <c r="K116" i="44"/>
  <c r="K115" i="44"/>
  <c r="K113" i="44"/>
  <c r="K112" i="44"/>
  <c r="K111" i="44"/>
  <c r="K110" i="44"/>
  <c r="K109" i="44"/>
  <c r="K108" i="44"/>
  <c r="K107" i="44"/>
  <c r="K106" i="44"/>
  <c r="K105" i="44"/>
  <c r="K103" i="44"/>
  <c r="K102" i="44"/>
  <c r="K101" i="44"/>
  <c r="K100" i="44"/>
  <c r="K99" i="44"/>
  <c r="K98" i="44"/>
  <c r="K97" i="44"/>
  <c r="K96" i="44"/>
  <c r="K95" i="44"/>
  <c r="K91" i="44"/>
  <c r="K90" i="44"/>
  <c r="K89" i="44"/>
  <c r="K88" i="44"/>
  <c r="K87" i="44"/>
  <c r="K86" i="44"/>
  <c r="K85" i="44"/>
  <c r="K84" i="44"/>
  <c r="K83" i="44"/>
  <c r="K81" i="44"/>
  <c r="K80" i="44"/>
  <c r="K79" i="44"/>
  <c r="K78" i="44"/>
  <c r="K77" i="44"/>
  <c r="K76" i="44"/>
  <c r="K75" i="44"/>
  <c r="K74" i="44"/>
  <c r="K73" i="44"/>
  <c r="K69" i="44"/>
  <c r="K68" i="44"/>
  <c r="K67" i="44"/>
  <c r="K66" i="44"/>
  <c r="K64" i="44"/>
  <c r="K63" i="44"/>
  <c r="K62" i="44"/>
  <c r="K61" i="44"/>
  <c r="K59" i="44"/>
  <c r="K58" i="44"/>
  <c r="K57" i="44"/>
  <c r="K56" i="44"/>
  <c r="K54" i="44"/>
  <c r="K53" i="44"/>
  <c r="K52" i="44"/>
  <c r="K51" i="44"/>
  <c r="K49" i="44"/>
  <c r="K48" i="44"/>
  <c r="K47" i="44"/>
  <c r="K46" i="44"/>
  <c r="K44" i="44"/>
  <c r="K43" i="44"/>
  <c r="K42" i="44"/>
  <c r="K41" i="44"/>
  <c r="K37" i="44"/>
  <c r="K35" i="44"/>
  <c r="K34" i="44"/>
  <c r="K32" i="44"/>
  <c r="K31" i="44"/>
  <c r="K29" i="44"/>
  <c r="K28" i="44"/>
  <c r="K26" i="44"/>
  <c r="K25" i="44"/>
  <c r="K21" i="44"/>
  <c r="K20" i="44"/>
  <c r="K19" i="44"/>
  <c r="K18" i="44"/>
  <c r="K17" i="44"/>
  <c r="K16" i="44"/>
  <c r="K15" i="44"/>
  <c r="K14" i="44"/>
  <c r="K13" i="44"/>
  <c r="J772" i="44"/>
  <c r="J771" i="44"/>
  <c r="J770" i="44"/>
  <c r="J769" i="44"/>
  <c r="J768" i="44"/>
  <c r="J767" i="44"/>
  <c r="J766" i="44"/>
  <c r="J765" i="44"/>
  <c r="J764" i="44"/>
  <c r="J763" i="44"/>
  <c r="J762" i="44"/>
  <c r="J761" i="44"/>
  <c r="J760" i="44"/>
  <c r="J759" i="44"/>
  <c r="J758" i="44"/>
  <c r="J757" i="44"/>
  <c r="J756" i="44"/>
  <c r="J755" i="44"/>
  <c r="J754" i="44"/>
  <c r="J753" i="44"/>
  <c r="J752" i="44"/>
  <c r="J751" i="44"/>
  <c r="J750" i="44"/>
  <c r="J749" i="44"/>
  <c r="J748" i="44"/>
  <c r="J747" i="44"/>
  <c r="J746" i="44"/>
  <c r="J745" i="44"/>
  <c r="J744" i="44"/>
  <c r="J743" i="44"/>
  <c r="J742" i="44"/>
  <c r="J741" i="44"/>
  <c r="J740" i="44"/>
  <c r="J739" i="44"/>
  <c r="J738" i="44"/>
  <c r="J737" i="44"/>
  <c r="J736" i="44"/>
  <c r="J735" i="44"/>
  <c r="J734" i="44"/>
  <c r="J733" i="44"/>
  <c r="J732" i="44"/>
  <c r="J731" i="44"/>
  <c r="J730" i="44"/>
  <c r="J729" i="44"/>
  <c r="J728" i="44"/>
  <c r="J727" i="44"/>
  <c r="J726" i="44"/>
  <c r="J725" i="44"/>
  <c r="J724" i="44"/>
  <c r="J723" i="44"/>
  <c r="J722" i="44"/>
  <c r="J721" i="44"/>
  <c r="J720" i="44"/>
  <c r="J719" i="44"/>
  <c r="J718" i="44"/>
  <c r="J717" i="44"/>
  <c r="J716" i="44"/>
  <c r="J715" i="44"/>
  <c r="J714" i="44"/>
  <c r="J713" i="44"/>
  <c r="J712" i="44"/>
  <c r="J711" i="44"/>
  <c r="J710" i="44"/>
  <c r="J709" i="44"/>
  <c r="J708" i="44"/>
  <c r="J707" i="44"/>
  <c r="J706" i="44"/>
  <c r="J705" i="44"/>
  <c r="J704" i="44"/>
  <c r="J703" i="44"/>
  <c r="J702" i="44"/>
  <c r="J701" i="44"/>
  <c r="J700" i="44"/>
  <c r="J699" i="44"/>
  <c r="J698" i="44"/>
  <c r="J697" i="44"/>
  <c r="J696" i="44"/>
  <c r="J695" i="44"/>
  <c r="J694" i="44"/>
  <c r="J693" i="44"/>
  <c r="J692" i="44"/>
  <c r="J691" i="44"/>
  <c r="J690" i="44"/>
  <c r="J689" i="44"/>
  <c r="J688" i="44"/>
  <c r="J687" i="44"/>
  <c r="J686" i="44"/>
  <c r="J685" i="44"/>
  <c r="J684" i="44"/>
  <c r="J683" i="44"/>
  <c r="J682" i="44"/>
  <c r="J681" i="44"/>
  <c r="J680" i="44"/>
  <c r="J679" i="44"/>
  <c r="J678" i="44"/>
  <c r="J677" i="44"/>
  <c r="J676" i="44"/>
  <c r="J675" i="44"/>
  <c r="J674" i="44"/>
  <c r="J673" i="44"/>
  <c r="J672" i="44"/>
  <c r="J671" i="44"/>
  <c r="J670" i="44"/>
  <c r="J665" i="44"/>
  <c r="J664" i="44"/>
  <c r="J663" i="44"/>
  <c r="J662" i="44"/>
  <c r="J661" i="44"/>
  <c r="J660" i="44"/>
  <c r="J659" i="44"/>
  <c r="J658" i="44"/>
  <c r="J657" i="44"/>
  <c r="J656" i="44"/>
  <c r="J655" i="44"/>
  <c r="J654" i="44"/>
  <c r="J653" i="44"/>
  <c r="J652" i="44"/>
  <c r="J651" i="44"/>
  <c r="J650" i="44"/>
  <c r="J649" i="44"/>
  <c r="J648" i="44"/>
  <c r="J647" i="44"/>
  <c r="J646" i="44"/>
  <c r="J645" i="44"/>
  <c r="J644" i="44"/>
  <c r="J643" i="44"/>
  <c r="J642" i="44"/>
  <c r="J641" i="44"/>
  <c r="J640" i="44"/>
  <c r="J639" i="44"/>
  <c r="J638" i="44"/>
  <c r="J637" i="44"/>
  <c r="J636" i="44"/>
  <c r="J635" i="44"/>
  <c r="J630" i="44"/>
  <c r="J629" i="44"/>
  <c r="J628" i="44"/>
  <c r="J627" i="44"/>
  <c r="J626" i="44"/>
  <c r="J625" i="44"/>
  <c r="J624" i="44"/>
  <c r="J623" i="44"/>
  <c r="J622" i="44"/>
  <c r="J621" i="44"/>
  <c r="J620" i="44"/>
  <c r="J619" i="44"/>
  <c r="J618" i="44"/>
  <c r="J617" i="44"/>
  <c r="J616" i="44"/>
  <c r="J615" i="44"/>
  <c r="J614" i="44"/>
  <c r="J613" i="44"/>
  <c r="J612" i="44"/>
  <c r="J605" i="44"/>
  <c r="J604" i="44"/>
  <c r="J603" i="44"/>
  <c r="J602" i="44"/>
  <c r="J601" i="44"/>
  <c r="J600" i="44"/>
  <c r="J599" i="44"/>
  <c r="J598" i="44"/>
  <c r="J597" i="44"/>
  <c r="J596" i="44"/>
  <c r="J595" i="44"/>
  <c r="J594" i="44"/>
  <c r="J593" i="44"/>
  <c r="J592" i="44"/>
  <c r="J591" i="44"/>
  <c r="J587" i="44"/>
  <c r="J586" i="44"/>
  <c r="J585" i="44"/>
  <c r="J584" i="44"/>
  <c r="J583" i="44"/>
  <c r="J582" i="44"/>
  <c r="J581" i="44"/>
  <c r="J580" i="44"/>
  <c r="J576" i="44"/>
  <c r="J575" i="44"/>
  <c r="J574" i="44"/>
  <c r="J573" i="44"/>
  <c r="J572" i="44"/>
  <c r="J571" i="44"/>
  <c r="J570" i="44"/>
  <c r="J569" i="44"/>
  <c r="J568" i="44"/>
  <c r="J567" i="44"/>
  <c r="J566" i="44"/>
  <c r="J565" i="44"/>
  <c r="J564" i="44"/>
  <c r="J560" i="44"/>
  <c r="J559" i="44"/>
  <c r="J558" i="44"/>
  <c r="J557" i="44"/>
  <c r="J556" i="44"/>
  <c r="J555" i="44"/>
  <c r="J554" i="44"/>
  <c r="J553" i="44"/>
  <c r="J552" i="44"/>
  <c r="J551" i="44"/>
  <c r="J550" i="44"/>
  <c r="J549" i="44"/>
  <c r="J548" i="44"/>
  <c r="J547" i="44"/>
  <c r="J546" i="44"/>
  <c r="J545" i="44"/>
  <c r="J544" i="44"/>
  <c r="J543" i="44"/>
  <c r="J542" i="44"/>
  <c r="J541" i="44"/>
  <c r="J540" i="44"/>
  <c r="J539" i="44"/>
  <c r="J538" i="44"/>
  <c r="J537" i="44"/>
  <c r="J536" i="44"/>
  <c r="J535" i="44"/>
  <c r="J534" i="44"/>
  <c r="J533" i="44"/>
  <c r="J532" i="44"/>
  <c r="J531" i="44"/>
  <c r="J530" i="44"/>
  <c r="J529" i="44"/>
  <c r="J528" i="44"/>
  <c r="J527" i="44"/>
  <c r="J526" i="44"/>
  <c r="J525" i="44"/>
  <c r="J524" i="44"/>
  <c r="J523" i="44"/>
  <c r="J522" i="44"/>
  <c r="J521" i="44"/>
  <c r="J520" i="44"/>
  <c r="J519" i="44"/>
  <c r="J518" i="44"/>
  <c r="J517" i="44"/>
  <c r="J516" i="44"/>
  <c r="J515" i="44"/>
  <c r="J514" i="44"/>
  <c r="J513" i="44"/>
  <c r="J512" i="44"/>
  <c r="J511" i="44"/>
  <c r="J510" i="44"/>
  <c r="J509" i="44"/>
  <c r="J508" i="44"/>
  <c r="J507" i="44"/>
  <c r="J506" i="44"/>
  <c r="J505" i="44"/>
  <c r="J504" i="44"/>
  <c r="J503" i="44"/>
  <c r="J502" i="44"/>
  <c r="J501" i="44"/>
  <c r="J500" i="44"/>
  <c r="J496" i="44"/>
  <c r="J495" i="44"/>
  <c r="J494" i="44"/>
  <c r="J493" i="44"/>
  <c r="J492" i="44"/>
  <c r="J491" i="44"/>
  <c r="J490" i="44"/>
  <c r="J489" i="44"/>
  <c r="J488" i="44"/>
  <c r="J487" i="44"/>
  <c r="J486" i="44"/>
  <c r="J485" i="44"/>
  <c r="J484" i="44"/>
  <c r="J483" i="44"/>
  <c r="J482" i="44"/>
  <c r="J481" i="44"/>
  <c r="J480" i="44"/>
  <c r="J479" i="44"/>
  <c r="J478" i="44"/>
  <c r="J477" i="44"/>
  <c r="J473" i="44"/>
  <c r="J472" i="44"/>
  <c r="J471" i="44"/>
  <c r="J470" i="44"/>
  <c r="J469" i="44"/>
  <c r="J468" i="44"/>
  <c r="J467" i="44"/>
  <c r="J466" i="44"/>
  <c r="J465" i="44"/>
  <c r="J464" i="44"/>
  <c r="J463" i="44"/>
  <c r="J462" i="44"/>
  <c r="J461" i="44"/>
  <c r="J460" i="44"/>
  <c r="J459" i="44"/>
  <c r="J458" i="44"/>
  <c r="J457" i="44"/>
  <c r="J456" i="44"/>
  <c r="J455" i="44"/>
  <c r="J454" i="44"/>
  <c r="J453" i="44"/>
  <c r="J452" i="44"/>
  <c r="J451" i="44"/>
  <c r="J450" i="44"/>
  <c r="J449" i="44"/>
  <c r="J448" i="44"/>
  <c r="J447" i="44"/>
  <c r="J443" i="44"/>
  <c r="J442" i="44"/>
  <c r="J441" i="44"/>
  <c r="J440" i="44"/>
  <c r="J439" i="44"/>
  <c r="J438" i="44"/>
  <c r="J437" i="44"/>
  <c r="J436" i="44"/>
  <c r="J435" i="44"/>
  <c r="J434" i="44"/>
  <c r="J433" i="44"/>
  <c r="J432" i="44"/>
  <c r="J431" i="44"/>
  <c r="J430" i="44"/>
  <c r="J429" i="44"/>
  <c r="J428" i="44"/>
  <c r="J427" i="44"/>
  <c r="J426" i="44"/>
  <c r="J425" i="44"/>
  <c r="J424" i="44"/>
  <c r="J423" i="44"/>
  <c r="J422" i="44"/>
  <c r="J421" i="44"/>
  <c r="J420" i="44"/>
  <c r="J419" i="44"/>
  <c r="J418" i="44"/>
  <c r="J417" i="44"/>
  <c r="J416" i="44"/>
  <c r="J415" i="44"/>
  <c r="J414" i="44"/>
  <c r="J410" i="44"/>
  <c r="J409" i="44"/>
  <c r="J408" i="44"/>
  <c r="J407" i="44"/>
  <c r="J406" i="44"/>
  <c r="J405" i="44"/>
  <c r="J404" i="44"/>
  <c r="J403" i="44"/>
  <c r="J402" i="44"/>
  <c r="J401" i="44"/>
  <c r="J400" i="44"/>
  <c r="J399" i="44"/>
  <c r="J398" i="44"/>
  <c r="J397" i="44"/>
  <c r="J396" i="44"/>
  <c r="J395" i="44"/>
  <c r="J394" i="44"/>
  <c r="J393" i="44"/>
  <c r="J392" i="44"/>
  <c r="J391" i="44"/>
  <c r="J390" i="44"/>
  <c r="J389" i="44"/>
  <c r="J388" i="44"/>
  <c r="J387" i="44"/>
  <c r="J386" i="44"/>
  <c r="J385" i="44"/>
  <c r="J384" i="44"/>
  <c r="J383" i="44"/>
  <c r="J382" i="44"/>
  <c r="J381" i="44"/>
  <c r="J380" i="44"/>
  <c r="J379" i="44"/>
  <c r="J378" i="44"/>
  <c r="J377" i="44"/>
  <c r="J376" i="44"/>
  <c r="J375" i="44"/>
  <c r="J374" i="44"/>
  <c r="J373" i="44"/>
  <c r="J372" i="44"/>
  <c r="J371" i="44"/>
  <c r="J370" i="44"/>
  <c r="J369" i="44"/>
  <c r="J368" i="44"/>
  <c r="J367" i="44"/>
  <c r="J366" i="44"/>
  <c r="J365" i="44"/>
  <c r="J364" i="44"/>
  <c r="J363" i="44"/>
  <c r="J362" i="44"/>
  <c r="J361" i="44"/>
  <c r="J360" i="44"/>
  <c r="J359" i="44"/>
  <c r="J358" i="44"/>
  <c r="J357" i="44"/>
  <c r="J356" i="44"/>
  <c r="J355" i="44"/>
  <c r="J354" i="44"/>
  <c r="J353" i="44"/>
  <c r="J352" i="44"/>
  <c r="J351" i="44"/>
  <c r="J350" i="44"/>
  <c r="J349" i="44"/>
  <c r="J348" i="44"/>
  <c r="J347" i="44"/>
  <c r="J346" i="44"/>
  <c r="J345" i="44"/>
  <c r="J344" i="44"/>
  <c r="J343" i="44"/>
  <c r="J342" i="44"/>
  <c r="J341" i="44"/>
  <c r="J340" i="44"/>
  <c r="J339" i="44"/>
  <c r="J338" i="44"/>
  <c r="J337" i="44"/>
  <c r="J336" i="44"/>
  <c r="J335" i="44"/>
  <c r="J334" i="44"/>
  <c r="J333" i="44"/>
  <c r="J332" i="44"/>
  <c r="J331" i="44"/>
  <c r="J330" i="44"/>
  <c r="J329" i="44"/>
  <c r="J328" i="44"/>
  <c r="J327" i="44"/>
  <c r="J326" i="44"/>
  <c r="J325" i="44"/>
  <c r="J324" i="44"/>
  <c r="J323" i="44"/>
  <c r="J322" i="44"/>
  <c r="J321" i="44"/>
  <c r="J320" i="44"/>
  <c r="J319" i="44"/>
  <c r="J318" i="44"/>
  <c r="J317" i="44"/>
  <c r="J316" i="44"/>
  <c r="J315" i="44"/>
  <c r="J314" i="44"/>
  <c r="J313" i="44"/>
  <c r="J312" i="44"/>
  <c r="J311" i="44"/>
  <c r="J307" i="44"/>
  <c r="J306" i="44"/>
  <c r="J305" i="44"/>
  <c r="J304" i="44"/>
  <c r="J303" i="44"/>
  <c r="J302" i="44"/>
  <c r="J301" i="44"/>
  <c r="J300" i="44"/>
  <c r="J299" i="44"/>
  <c r="J298" i="44"/>
  <c r="J297" i="44"/>
  <c r="J296" i="44"/>
  <c r="J295" i="44"/>
  <c r="J294" i="44"/>
  <c r="J293" i="44"/>
  <c r="J292" i="44"/>
  <c r="J291" i="44"/>
  <c r="J290" i="44"/>
  <c r="J289" i="44"/>
  <c r="J288" i="44"/>
  <c r="J287" i="44"/>
  <c r="J286" i="44"/>
  <c r="J285" i="44"/>
  <c r="J284" i="44"/>
  <c r="J283" i="44"/>
  <c r="J282" i="44"/>
  <c r="J281" i="44"/>
  <c r="J280" i="44"/>
  <c r="J279" i="44"/>
  <c r="J278" i="44"/>
  <c r="J277" i="44"/>
  <c r="J276" i="44"/>
  <c r="J275" i="44"/>
  <c r="J274" i="44"/>
  <c r="J273" i="44"/>
  <c r="J272" i="44"/>
  <c r="J271" i="44"/>
  <c r="J270" i="44"/>
  <c r="J269" i="44"/>
  <c r="J268" i="44"/>
  <c r="J267" i="44"/>
  <c r="J266" i="44"/>
  <c r="J265" i="44"/>
  <c r="J264" i="44"/>
  <c r="J263" i="44"/>
  <c r="J262" i="44"/>
  <c r="J261" i="44"/>
  <c r="J260" i="44"/>
  <c r="J259" i="44"/>
  <c r="J258" i="44"/>
  <c r="J257" i="44"/>
  <c r="J256" i="44"/>
  <c r="J255" i="44"/>
  <c r="J254" i="44"/>
  <c r="J253" i="44"/>
  <c r="J252" i="44"/>
  <c r="J251" i="44"/>
  <c r="J250" i="44"/>
  <c r="J249" i="44"/>
  <c r="J248" i="44"/>
  <c r="J247" i="44"/>
  <c r="J246" i="44"/>
  <c r="J245" i="44"/>
  <c r="J244" i="44"/>
  <c r="J243" i="44"/>
  <c r="J242" i="44"/>
  <c r="J241" i="44"/>
  <c r="J240" i="44"/>
  <c r="J239" i="44"/>
  <c r="J238" i="44"/>
  <c r="J237" i="44"/>
  <c r="J236" i="44"/>
  <c r="J235" i="44"/>
  <c r="J234" i="44"/>
  <c r="J233" i="44"/>
  <c r="J232" i="44"/>
  <c r="J231" i="44"/>
  <c r="J230" i="44"/>
  <c r="J229" i="44"/>
  <c r="J228" i="44"/>
  <c r="J227" i="44"/>
  <c r="J226" i="44"/>
  <c r="J225" i="44"/>
  <c r="J224" i="44"/>
  <c r="J223" i="44"/>
  <c r="J222" i="44"/>
  <c r="J221" i="44"/>
  <c r="J220" i="44"/>
  <c r="J219" i="44"/>
  <c r="J218" i="44"/>
  <c r="J217" i="44"/>
  <c r="J216" i="44"/>
  <c r="J215" i="44"/>
  <c r="J214" i="44"/>
  <c r="J213" i="44"/>
  <c r="J212" i="44"/>
  <c r="J211" i="44"/>
  <c r="J210" i="44"/>
  <c r="J209" i="44"/>
  <c r="J204" i="44"/>
  <c r="J203" i="44"/>
  <c r="J202" i="44"/>
  <c r="J201" i="44"/>
  <c r="J200" i="44"/>
  <c r="J199" i="44"/>
  <c r="J198" i="44"/>
  <c r="J197" i="44"/>
  <c r="J196" i="44"/>
  <c r="J195" i="44"/>
  <c r="J194" i="44"/>
  <c r="J193" i="44"/>
  <c r="J192" i="44"/>
  <c r="J191" i="44"/>
  <c r="J187" i="44"/>
  <c r="J186" i="44"/>
  <c r="J185" i="44"/>
  <c r="J184" i="44"/>
  <c r="J183" i="44"/>
  <c r="J182" i="44"/>
  <c r="J181" i="44"/>
  <c r="J180" i="44"/>
  <c r="J179" i="44"/>
  <c r="J178" i="44"/>
  <c r="J177" i="44"/>
  <c r="J176" i="44"/>
  <c r="J175" i="44"/>
  <c r="J174" i="44"/>
  <c r="J173" i="44"/>
  <c r="J172" i="44"/>
  <c r="J171" i="44"/>
  <c r="J170" i="44"/>
  <c r="J169" i="44"/>
  <c r="J168" i="44"/>
  <c r="J167" i="44"/>
  <c r="J163" i="44"/>
  <c r="J162" i="44"/>
  <c r="J161" i="44"/>
  <c r="J160" i="44"/>
  <c r="J159" i="44"/>
  <c r="J158" i="44"/>
  <c r="J157" i="44"/>
  <c r="J156" i="44"/>
  <c r="J155" i="44"/>
  <c r="J154" i="44"/>
  <c r="J153" i="44"/>
  <c r="J152" i="44"/>
  <c r="J151" i="44"/>
  <c r="J150" i="44"/>
  <c r="J149" i="44"/>
  <c r="J148" i="44"/>
  <c r="J147" i="44"/>
  <c r="J146" i="44"/>
  <c r="J145" i="44"/>
  <c r="J144" i="44"/>
  <c r="J143" i="44"/>
  <c r="J142" i="44"/>
  <c r="J141" i="44"/>
  <c r="J140" i="44"/>
  <c r="J139" i="44"/>
  <c r="J138" i="44"/>
  <c r="J137" i="44"/>
  <c r="J136" i="44"/>
  <c r="J135" i="44"/>
  <c r="J134" i="44"/>
  <c r="J133" i="44"/>
  <c r="J132" i="44"/>
  <c r="J131" i="44"/>
  <c r="J130" i="44"/>
  <c r="J129" i="44"/>
  <c r="J128" i="44"/>
  <c r="J127" i="44"/>
  <c r="J126" i="44"/>
  <c r="J125" i="44"/>
  <c r="J124" i="44"/>
  <c r="J123" i="44"/>
  <c r="J122" i="44"/>
  <c r="J121" i="44"/>
  <c r="J120" i="44"/>
  <c r="J119" i="44"/>
  <c r="J118" i="44"/>
  <c r="J117" i="44"/>
  <c r="J116" i="44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F103" i="49" l="1"/>
  <c r="F332" i="44"/>
  <c r="F331" i="44"/>
  <c r="F330" i="44"/>
  <c r="F211" i="44"/>
  <c r="F231" i="44" s="1"/>
  <c r="F257" i="44" s="1"/>
  <c r="F264" i="44" s="1"/>
  <c r="F284" i="44" s="1"/>
  <c r="F291" i="44" s="1"/>
  <c r="F345" i="44" s="1"/>
  <c r="F368" i="44" s="1"/>
  <c r="F369" i="44" s="1"/>
  <c r="F495" i="44" s="1"/>
  <c r="F507" i="44" s="1"/>
  <c r="F523" i="44" s="1"/>
  <c r="F212" i="44"/>
  <c r="F232" i="44" s="1"/>
  <c r="F239" i="44" s="1"/>
  <c r="F127" i="44"/>
  <c r="F43" i="44"/>
  <c r="F455" i="44" s="1"/>
  <c r="E111" i="47"/>
  <c r="E106" i="47"/>
  <c r="E109" i="47"/>
  <c r="E108" i="47"/>
  <c r="E107" i="47"/>
  <c r="E90" i="47"/>
  <c r="E91" i="47"/>
  <c r="E92" i="47"/>
  <c r="E89" i="47"/>
  <c r="E83" i="47"/>
  <c r="E77" i="47"/>
  <c r="E76" i="47"/>
  <c r="E31" i="47"/>
  <c r="E97" i="47" s="1"/>
  <c r="E30" i="47"/>
  <c r="E96" i="47" s="1"/>
  <c r="E98" i="47" s="1"/>
  <c r="E99" i="47" s="1"/>
  <c r="E29" i="47"/>
  <c r="E22" i="47"/>
  <c r="E20" i="47"/>
  <c r="E95" i="47" s="1"/>
  <c r="E43" i="49"/>
  <c r="E47" i="49" s="1"/>
  <c r="E49" i="49" s="1"/>
  <c r="E50" i="49" s="1"/>
  <c r="E53" i="49" s="1"/>
  <c r="E40" i="49"/>
  <c r="E39" i="49"/>
  <c r="E41" i="49" s="1"/>
  <c r="E42" i="49" s="1"/>
  <c r="E44" i="49" s="1"/>
  <c r="E45" i="49" s="1"/>
  <c r="E46" i="49" s="1"/>
  <c r="E48" i="49" s="1"/>
  <c r="E38" i="49"/>
  <c r="E95" i="49"/>
  <c r="E94" i="49" s="1"/>
  <c r="E54" i="49"/>
  <c r="E55" i="49" s="1"/>
  <c r="E56" i="49" s="1"/>
  <c r="E57" i="49" s="1"/>
  <c r="E58" i="49" s="1"/>
  <c r="E89" i="49"/>
  <c r="E88" i="49"/>
  <c r="E86" i="49"/>
  <c r="E82" i="49"/>
  <c r="E81" i="49"/>
  <c r="E80" i="49"/>
  <c r="E87" i="49" s="1"/>
  <c r="E79" i="49"/>
  <c r="E77" i="49"/>
  <c r="E85" i="49" s="1"/>
  <c r="F747" i="44"/>
  <c r="F736" i="44"/>
  <c r="F735" i="44"/>
  <c r="F732" i="44"/>
  <c r="F716" i="44"/>
  <c r="F714" i="44"/>
  <c r="F712" i="44"/>
  <c r="F702" i="44"/>
  <c r="F692" i="44"/>
  <c r="F693" i="44" s="1"/>
  <c r="F694" i="44" s="1"/>
  <c r="F695" i="44" s="1"/>
  <c r="F696" i="44" s="1"/>
  <c r="F697" i="44" s="1"/>
  <c r="F698" i="44" s="1"/>
  <c r="F674" i="44"/>
  <c r="F649" i="44"/>
  <c r="F665" i="44" s="1"/>
  <c r="F648" i="44"/>
  <c r="F664" i="44" s="1"/>
  <c r="F644" i="44"/>
  <c r="F660" i="44" s="1"/>
  <c r="F640" i="44"/>
  <c r="F705" i="44" s="1"/>
  <c r="F639" i="44"/>
  <c r="F656" i="44" s="1"/>
  <c r="F703" i="44" s="1"/>
  <c r="F704" i="44" s="1"/>
  <c r="F635" i="44"/>
  <c r="F652" i="44" s="1"/>
  <c r="F630" i="44"/>
  <c r="F613" i="44"/>
  <c r="F600" i="44"/>
  <c r="F596" i="44" s="1"/>
  <c r="F618" i="44" s="1"/>
  <c r="F689" i="44" s="1"/>
  <c r="F571" i="44"/>
  <c r="F575" i="44" s="1"/>
  <c r="F572" i="44"/>
  <c r="F576" i="44" s="1"/>
  <c r="F566" i="44"/>
  <c r="F570" i="44" s="1"/>
  <c r="F574" i="44" s="1"/>
  <c r="F552" i="44"/>
  <c r="F525" i="44"/>
  <c r="F543" i="44" s="1"/>
  <c r="F559" i="44" s="1"/>
  <c r="F526" i="44"/>
  <c r="F544" i="44" s="1"/>
  <c r="F558" i="44" s="1"/>
  <c r="F516" i="44"/>
  <c r="F534" i="44" s="1"/>
  <c r="F554" i="44" s="1"/>
  <c r="F642" i="44" s="1"/>
  <c r="F658" i="44" s="1"/>
  <c r="F512" i="44"/>
  <c r="E31" i="49"/>
  <c r="E29" i="49"/>
  <c r="E23" i="49"/>
  <c r="E24" i="49" s="1"/>
  <c r="E27" i="49" s="1"/>
  <c r="E11" i="49"/>
  <c r="F472" i="44"/>
  <c r="F466" i="44"/>
  <c r="F465" i="44"/>
  <c r="F462" i="44"/>
  <c r="F458" i="44"/>
  <c r="F487" i="44" s="1"/>
  <c r="F488" i="44" s="1"/>
  <c r="F457" i="44"/>
  <c r="F486" i="44" s="1"/>
  <c r="F431" i="44"/>
  <c r="F430" i="44"/>
  <c r="F460" i="44" s="1"/>
  <c r="F461" i="44" s="1"/>
  <c r="F428" i="44"/>
  <c r="F427" i="44"/>
  <c r="F421" i="44"/>
  <c r="F405" i="44"/>
  <c r="F408" i="44"/>
  <c r="F384" i="44"/>
  <c r="F404" i="44" s="1"/>
  <c r="F387" i="44"/>
  <c r="F407" i="44" s="1"/>
  <c r="F389" i="44"/>
  <c r="F409" i="44" s="1"/>
  <c r="F362" i="44"/>
  <c r="F359" i="44"/>
  <c r="F383" i="44" s="1"/>
  <c r="F403" i="44" s="1"/>
  <c r="F334" i="44"/>
  <c r="F327" i="44"/>
  <c r="F247" i="44"/>
  <c r="F273" i="44" s="1"/>
  <c r="F300" i="44" s="1"/>
  <c r="F314" i="44" s="1"/>
  <c r="F325" i="44" s="1"/>
  <c r="F341" i="44" s="1"/>
  <c r="F355" i="44" s="1"/>
  <c r="F377" i="44" s="1"/>
  <c r="F397" i="44" s="1"/>
  <c r="F418" i="44" s="1"/>
  <c r="F230" i="44"/>
  <c r="F256" i="44" s="1"/>
  <c r="F263" i="44" s="1"/>
  <c r="F283" i="44" s="1"/>
  <c r="F290" i="44" s="1"/>
  <c r="F340" i="44" s="1"/>
  <c r="F222" i="44"/>
  <c r="F249" i="44" s="1"/>
  <c r="F275" i="44" s="1"/>
  <c r="F302" i="44" s="1"/>
  <c r="F315" i="44" s="1"/>
  <c r="F342" i="44" s="1"/>
  <c r="F356" i="44" s="1"/>
  <c r="F378" i="44" s="1"/>
  <c r="F398" i="44" s="1"/>
  <c r="F453" i="44" s="1"/>
  <c r="F482" i="44" s="1"/>
  <c r="F684" i="44" s="1"/>
  <c r="F221" i="44"/>
  <c r="F248" i="44" s="1"/>
  <c r="F274" i="44" s="1"/>
  <c r="F301" i="44" s="1"/>
  <c r="F357" i="44" s="1"/>
  <c r="F379" i="44" s="1"/>
  <c r="F399" i="44" s="1"/>
  <c r="F218" i="44"/>
  <c r="F245" i="44" s="1"/>
  <c r="F271" i="44" s="1"/>
  <c r="F298" i="44" s="1"/>
  <c r="F352" i="44" s="1"/>
  <c r="F374" i="44" s="1"/>
  <c r="F209" i="44"/>
  <c r="F229" i="44" s="1"/>
  <c r="F202" i="44"/>
  <c r="F201" i="44"/>
  <c r="F192" i="44"/>
  <c r="F323" i="44" s="1"/>
  <c r="F351" i="44" s="1"/>
  <c r="F373" i="44" s="1"/>
  <c r="F393" i="44" s="1"/>
  <c r="F416" i="44" s="1"/>
  <c r="F191" i="44"/>
  <c r="F216" i="44" s="1"/>
  <c r="F243" i="44" s="1"/>
  <c r="F269" i="44" s="1"/>
  <c r="F296" i="44" s="1"/>
  <c r="F311" i="44" s="1"/>
  <c r="F322" i="44" s="1"/>
  <c r="F338" i="44" s="1"/>
  <c r="F350" i="44" s="1"/>
  <c r="F372" i="44" s="1"/>
  <c r="F392" i="44" s="1"/>
  <c r="F414" i="44" s="1"/>
  <c r="F447" i="44" s="1"/>
  <c r="F174" i="44"/>
  <c r="F422" i="44" s="1"/>
  <c r="F172" i="44"/>
  <c r="F108" i="44"/>
  <c r="F118" i="44" s="1"/>
  <c r="F128" i="44" s="1"/>
  <c r="F111" i="44"/>
  <c r="F121" i="44" s="1"/>
  <c r="F131" i="44" s="1"/>
  <c r="F112" i="44"/>
  <c r="F122" i="44" s="1"/>
  <c r="F132" i="44" s="1"/>
  <c r="F113" i="44"/>
  <c r="F123" i="44" s="1"/>
  <c r="F144" i="44" s="1"/>
  <c r="F145" i="44" s="1"/>
  <c r="F99" i="44"/>
  <c r="F109" i="44" s="1"/>
  <c r="F119" i="44" s="1"/>
  <c r="F129" i="44" s="1"/>
  <c r="F84" i="44"/>
  <c r="F96" i="44" s="1"/>
  <c r="F106" i="44" s="1"/>
  <c r="F116" i="44" s="1"/>
  <c r="F85" i="44"/>
  <c r="F97" i="44" s="1"/>
  <c r="F107" i="44" s="1"/>
  <c r="F117" i="44" s="1"/>
  <c r="F86" i="44"/>
  <c r="F87" i="44"/>
  <c r="F88" i="44"/>
  <c r="F89" i="44"/>
  <c r="F90" i="44"/>
  <c r="F100" i="44" s="1"/>
  <c r="F110" i="44" s="1"/>
  <c r="F120" i="44" s="1"/>
  <c r="F91" i="44"/>
  <c r="F143" i="44" s="1"/>
  <c r="F154" i="44" s="1"/>
  <c r="F163" i="44" s="1"/>
  <c r="F47" i="44"/>
  <c r="F52" i="44" s="1"/>
  <c r="F57" i="44" s="1"/>
  <c r="F62" i="44" s="1"/>
  <c r="F67" i="44" s="1"/>
  <c r="F49" i="44"/>
  <c r="F54" i="44" s="1"/>
  <c r="F59" i="44" s="1"/>
  <c r="F64" i="44" s="1"/>
  <c r="F69" i="44" s="1"/>
  <c r="F46" i="44"/>
  <c r="F51" i="44" s="1"/>
  <c r="F56" i="44" s="1"/>
  <c r="F61" i="44" s="1"/>
  <c r="F66" i="44" s="1"/>
  <c r="F73" i="44" s="1"/>
  <c r="F83" i="44" s="1"/>
  <c r="F95" i="44" s="1"/>
  <c r="F105" i="44" s="1"/>
  <c r="F115" i="44" s="1"/>
  <c r="F31" i="44"/>
  <c r="F34" i="44" s="1"/>
  <c r="F29" i="44"/>
  <c r="F32" i="44" s="1"/>
  <c r="F35" i="44" s="1"/>
  <c r="F28" i="44"/>
  <c r="G16" i="44"/>
  <c r="F213" i="44" l="1"/>
  <c r="F225" i="44"/>
  <c r="F252" i="44" s="1"/>
  <c r="F278" i="44" s="1"/>
  <c r="F305" i="44" s="1"/>
  <c r="F646" i="44"/>
  <c r="F662" i="44" s="1"/>
  <c r="F765" i="44" s="1"/>
  <c r="F226" i="44"/>
  <c r="F253" i="44" s="1"/>
  <c r="F279" i="44" s="1"/>
  <c r="F306" i="44" s="1"/>
  <c r="F346" i="44" s="1"/>
  <c r="F370" i="44" s="1"/>
  <c r="F496" i="44" s="1"/>
  <c r="F508" i="44" s="1"/>
  <c r="F524" i="44" s="1"/>
  <c r="F542" i="44" s="1"/>
  <c r="F557" i="44" s="1"/>
  <c r="F415" i="44"/>
  <c r="F237" i="44"/>
  <c r="F597" i="44"/>
  <c r="F598" i="44" s="1"/>
  <c r="F599" i="44" s="1"/>
  <c r="F390" i="44"/>
  <c r="F410" i="44" s="1"/>
  <c r="F136" i="44"/>
  <c r="F147" i="44" s="1"/>
  <c r="F156" i="44" s="1"/>
  <c r="F125" i="44"/>
  <c r="F707" i="44"/>
  <c r="F708" i="44" s="1"/>
  <c r="F709" i="44" s="1"/>
  <c r="F690" i="44"/>
  <c r="F141" i="44"/>
  <c r="F152" i="44" s="1"/>
  <c r="F161" i="44" s="1"/>
  <c r="F181" i="44" s="1"/>
  <c r="F183" i="44" s="1"/>
  <c r="F130" i="44"/>
  <c r="F483" i="44"/>
  <c r="F505" i="44" s="1"/>
  <c r="F521" i="44" s="1"/>
  <c r="F539" i="44" s="1"/>
  <c r="F419" i="44"/>
  <c r="F449" i="44"/>
  <c r="F478" i="44" s="1"/>
  <c r="F591" i="44"/>
  <c r="F493" i="44"/>
  <c r="F438" i="44"/>
  <c r="F479" i="44"/>
  <c r="F503" i="44" s="1"/>
  <c r="F519" i="44" s="1"/>
  <c r="F537" i="44" s="1"/>
  <c r="F555" i="44" s="1"/>
  <c r="F643" i="44" s="1"/>
  <c r="F394" i="44"/>
  <c r="F593" i="44"/>
  <c r="F615" i="44" s="1"/>
  <c r="F680" i="44" s="1"/>
  <c r="F681" i="44" s="1"/>
  <c r="F682" i="44" s="1"/>
  <c r="F451" i="44"/>
  <c r="F481" i="44" s="1"/>
  <c r="F582" i="44" s="1"/>
  <c r="F477" i="44"/>
  <c r="F501" i="44"/>
  <c r="F517" i="44" s="1"/>
  <c r="F535" i="44" s="1"/>
  <c r="F612" i="44" s="1"/>
  <c r="F636" i="44" s="1"/>
  <c r="F653" i="44" s="1"/>
  <c r="F670" i="44" s="1"/>
  <c r="F699" i="44"/>
  <c r="F700" i="44"/>
  <c r="F140" i="44"/>
  <c r="F151" i="44" s="1"/>
  <c r="F160" i="44" s="1"/>
  <c r="F182" i="44" s="1"/>
  <c r="F198" i="44" s="1"/>
  <c r="F381" i="44" s="1"/>
  <c r="F401" i="44" s="1"/>
  <c r="F139" i="44"/>
  <c r="F150" i="44" s="1"/>
  <c r="F159" i="44" s="1"/>
  <c r="F196" i="44" s="1"/>
  <c r="F227" i="44"/>
  <c r="F48" i="44"/>
  <c r="F53" i="44" s="1"/>
  <c r="F58" i="44" s="1"/>
  <c r="F63" i="44" s="1"/>
  <c r="F68" i="44" s="1"/>
  <c r="F556" i="44"/>
  <c r="F645" i="44" s="1"/>
  <c r="F661" i="44" s="1"/>
  <c r="F764" i="44" s="1"/>
  <c r="F541" i="44"/>
  <c r="F258" i="44"/>
  <c r="F265" i="44" s="1"/>
  <c r="F285" i="44" s="1"/>
  <c r="F292" i="44" s="1"/>
  <c r="F137" i="44"/>
  <c r="F148" i="44" s="1"/>
  <c r="F157" i="44" s="1"/>
  <c r="F126" i="44"/>
  <c r="F142" i="44"/>
  <c r="F153" i="44" s="1"/>
  <c r="F138" i="44"/>
  <c r="F149" i="44" s="1"/>
  <c r="F236" i="44"/>
  <c r="F255" i="44"/>
  <c r="F262" i="44" s="1"/>
  <c r="F282" i="44" s="1"/>
  <c r="F289" i="44" s="1"/>
  <c r="F215" i="44"/>
  <c r="F242" i="44" s="1"/>
  <c r="F268" i="44" s="1"/>
  <c r="F295" i="44" s="1"/>
  <c r="F238" i="44"/>
  <c r="G552" i="44"/>
  <c r="G551" i="44"/>
  <c r="G550" i="44"/>
  <c r="G549" i="44"/>
  <c r="G548" i="44"/>
  <c r="G547" i="44"/>
  <c r="G546" i="44"/>
  <c r="G545" i="44"/>
  <c r="G532" i="44"/>
  <c r="G531" i="44"/>
  <c r="G530" i="44"/>
  <c r="G529" i="44"/>
  <c r="G528" i="44"/>
  <c r="G527" i="44"/>
  <c r="G514" i="44"/>
  <c r="G513" i="44"/>
  <c r="G512" i="44"/>
  <c r="G511" i="44"/>
  <c r="G510" i="44"/>
  <c r="G509" i="44"/>
  <c r="F233" i="44" l="1"/>
  <c r="F647" i="44"/>
  <c r="F663" i="44" s="1"/>
  <c r="F420" i="44"/>
  <c r="F595" i="44" s="1"/>
  <c r="F617" i="44" s="1"/>
  <c r="F594" i="44"/>
  <c r="F616" i="44" s="1"/>
  <c r="F685" i="44" s="1"/>
  <c r="F686" i="44" s="1"/>
  <c r="F687" i="44" s="1"/>
  <c r="F688" i="44" s="1"/>
  <c r="F683" i="44"/>
  <c r="F763" i="44" s="1"/>
  <c r="F659" i="44"/>
  <c r="F197" i="44"/>
  <c r="F224" i="44" s="1"/>
  <c r="F251" i="44" s="1"/>
  <c r="F277" i="44" s="1"/>
  <c r="F304" i="44" s="1"/>
  <c r="F316" i="44" s="1"/>
  <c r="F199" i="44"/>
  <c r="F223" i="44" s="1"/>
  <c r="F250" i="44" s="1"/>
  <c r="F276" i="44" s="1"/>
  <c r="F303" i="44" s="1"/>
  <c r="F329" i="44" s="1"/>
  <c r="F752" i="44"/>
  <c r="F767" i="44" s="1"/>
  <c r="F671" i="44"/>
  <c r="F423" i="44"/>
  <c r="F424" i="44" s="1"/>
  <c r="F176" i="44"/>
  <c r="F177" i="44" s="1"/>
  <c r="F178" i="44" s="1"/>
  <c r="F217" i="44"/>
  <c r="F244" i="44" s="1"/>
  <c r="F270" i="44" s="1"/>
  <c r="F297" i="44" s="1"/>
  <c r="F312" i="44" s="1"/>
  <c r="F324" i="44" s="1"/>
  <c r="F339" i="44" s="1"/>
  <c r="F353" i="44" s="1"/>
  <c r="F375" i="44" s="1"/>
  <c r="F395" i="44" s="1"/>
  <c r="F417" i="44" s="1"/>
  <c r="F169" i="44"/>
  <c r="F193" i="44" s="1"/>
  <c r="F184" i="44"/>
  <c r="F200" i="44" s="1"/>
  <c r="F358" i="44" s="1"/>
  <c r="F380" i="44" s="1"/>
  <c r="F400" i="44" s="1"/>
  <c r="F437" i="44" s="1"/>
  <c r="F456" i="44" s="1"/>
  <c r="F485" i="44" s="1"/>
  <c r="F162" i="44"/>
  <c r="F179" i="44"/>
  <c r="F158" i="44"/>
  <c r="F195" i="44" s="1"/>
  <c r="F219" i="44" s="1"/>
  <c r="F246" i="44" s="1"/>
  <c r="F272" i="44" s="1"/>
  <c r="F299" i="44" s="1"/>
  <c r="F313" i="44" s="1"/>
  <c r="C100" i="49"/>
  <c r="F100" i="49" s="1"/>
  <c r="F99" i="49"/>
  <c r="C98" i="49"/>
  <c r="F98" i="49" s="1"/>
  <c r="C96" i="49"/>
  <c r="F96" i="49" s="1"/>
  <c r="C95" i="49"/>
  <c r="F95" i="49" s="1"/>
  <c r="F94" i="49"/>
  <c r="C93" i="49"/>
  <c r="F93" i="49" s="1"/>
  <c r="A93" i="49"/>
  <c r="A94" i="49" s="1"/>
  <c r="A95" i="49" s="1"/>
  <c r="A96" i="49" s="1"/>
  <c r="A98" i="49" s="1"/>
  <c r="A99" i="49" s="1"/>
  <c r="A100" i="49" s="1"/>
  <c r="F92" i="49"/>
  <c r="C89" i="49"/>
  <c r="F89" i="49" s="1"/>
  <c r="F87" i="49"/>
  <c r="F86" i="49"/>
  <c r="A86" i="49"/>
  <c r="A87" i="49" s="1"/>
  <c r="A88" i="49" s="1"/>
  <c r="A89" i="49" s="1"/>
  <c r="C85" i="49"/>
  <c r="F85" i="49" s="1"/>
  <c r="C80" i="49"/>
  <c r="F80" i="49" s="1"/>
  <c r="C79" i="49"/>
  <c r="F79" i="49" s="1"/>
  <c r="C78" i="49"/>
  <c r="F78" i="49" s="1"/>
  <c r="A78" i="49"/>
  <c r="A79" i="49" s="1"/>
  <c r="A80" i="49" s="1"/>
  <c r="A81" i="49" s="1"/>
  <c r="A82" i="49" s="1"/>
  <c r="C77" i="49"/>
  <c r="F77" i="49" s="1"/>
  <c r="C74" i="49"/>
  <c r="F74" i="49" s="1"/>
  <c r="C73" i="49"/>
  <c r="F73" i="49" s="1"/>
  <c r="F72" i="49"/>
  <c r="F71" i="49"/>
  <c r="F70" i="49"/>
  <c r="F69" i="49"/>
  <c r="F68" i="49"/>
  <c r="A68" i="49"/>
  <c r="A69" i="49" s="1"/>
  <c r="A70" i="49" s="1"/>
  <c r="A71" i="49" s="1"/>
  <c r="A72" i="49" s="1"/>
  <c r="A73" i="49" s="1"/>
  <c r="A74" i="49" s="1"/>
  <c r="F67" i="49"/>
  <c r="F61" i="49"/>
  <c r="F58" i="49"/>
  <c r="F57" i="49"/>
  <c r="F56" i="49"/>
  <c r="F55" i="49"/>
  <c r="F54" i="49"/>
  <c r="F53" i="49"/>
  <c r="F50" i="49"/>
  <c r="F49" i="49"/>
  <c r="F48" i="49"/>
  <c r="F47" i="49"/>
  <c r="F46" i="49"/>
  <c r="F45" i="49"/>
  <c r="F44" i="49"/>
  <c r="F43" i="49"/>
  <c r="F42" i="49"/>
  <c r="F41" i="49"/>
  <c r="F40" i="49"/>
  <c r="F39" i="49"/>
  <c r="A39" i="49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F38" i="49"/>
  <c r="F33" i="49"/>
  <c r="F32" i="49"/>
  <c r="F31" i="49"/>
  <c r="F30" i="49"/>
  <c r="F29" i="49"/>
  <c r="F28" i="49"/>
  <c r="F27" i="49"/>
  <c r="F24" i="49"/>
  <c r="F23" i="49"/>
  <c r="F22" i="49"/>
  <c r="A22" i="49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F11" i="49"/>
  <c r="F114" i="47"/>
  <c r="F113" i="47"/>
  <c r="F112" i="47"/>
  <c r="F111" i="47"/>
  <c r="F109" i="47"/>
  <c r="F108" i="47"/>
  <c r="F107" i="47"/>
  <c r="F106" i="47"/>
  <c r="F100" i="47"/>
  <c r="C99" i="47"/>
  <c r="F99" i="47" s="1"/>
  <c r="C98" i="47"/>
  <c r="F98" i="47" s="1"/>
  <c r="C97" i="47"/>
  <c r="F97" i="47" s="1"/>
  <c r="C96" i="47"/>
  <c r="F96" i="47" s="1"/>
  <c r="F95" i="47"/>
  <c r="F92" i="47"/>
  <c r="F91" i="47"/>
  <c r="F90" i="47"/>
  <c r="F89" i="47"/>
  <c r="F83" i="47"/>
  <c r="F77" i="47"/>
  <c r="F76" i="47"/>
  <c r="F72" i="47"/>
  <c r="F71" i="47"/>
  <c r="F70" i="47"/>
  <c r="F69" i="47"/>
  <c r="F63" i="47"/>
  <c r="F57" i="47"/>
  <c r="F56" i="47"/>
  <c r="F35" i="47"/>
  <c r="F32" i="47"/>
  <c r="F31" i="47"/>
  <c r="F30" i="47"/>
  <c r="F29" i="47"/>
  <c r="F27" i="47"/>
  <c r="F26" i="47"/>
  <c r="F25" i="47"/>
  <c r="F24" i="47"/>
  <c r="F23" i="47"/>
  <c r="F22" i="47"/>
  <c r="F21" i="47"/>
  <c r="F20" i="47"/>
  <c r="F13" i="47"/>
  <c r="A13" i="47"/>
  <c r="A19" i="47" s="1"/>
  <c r="A21" i="47" s="1"/>
  <c r="A22" i="47" s="1"/>
  <c r="A23" i="47" s="1"/>
  <c r="A24" i="47" s="1"/>
  <c r="A25" i="47" s="1"/>
  <c r="A26" i="47" s="1"/>
  <c r="A27" i="47" s="1"/>
  <c r="A28" i="47" s="1"/>
  <c r="A34" i="47" s="1"/>
  <c r="A53" i="47" s="1"/>
  <c r="A103" i="47" s="1"/>
  <c r="A5" i="47"/>
  <c r="A2" i="47"/>
  <c r="F259" i="44" l="1"/>
  <c r="F266" i="44" s="1"/>
  <c r="F240" i="44"/>
  <c r="C81" i="49"/>
  <c r="F81" i="49" s="1"/>
  <c r="F360" i="44"/>
  <c r="F318" i="44"/>
  <c r="F450" i="44"/>
  <c r="F480" i="44" s="1"/>
  <c r="F502" i="44" s="1"/>
  <c r="F518" i="44" s="1"/>
  <c r="F536" i="44" s="1"/>
  <c r="F581" i="44" s="1"/>
  <c r="F592" i="44"/>
  <c r="F614" i="44" s="1"/>
  <c r="F637" i="44" s="1"/>
  <c r="F654" i="44" s="1"/>
  <c r="F676" i="44" s="1"/>
  <c r="F354" i="44"/>
  <c r="F376" i="44" s="1"/>
  <c r="F396" i="44" s="1"/>
  <c r="F425" i="44" s="1"/>
  <c r="F454" i="44" s="1"/>
  <c r="F343" i="44"/>
  <c r="F117" i="47"/>
  <c r="C10" i="50" s="1"/>
  <c r="F35" i="49"/>
  <c r="C82" i="49"/>
  <c r="F82" i="49" s="1"/>
  <c r="F63" i="49"/>
  <c r="C88" i="49"/>
  <c r="F88" i="49" s="1"/>
  <c r="F280" i="44" l="1"/>
  <c r="F307" i="44" s="1"/>
  <c r="F286" i="44"/>
  <c r="F293" i="44" s="1"/>
  <c r="F382" i="44"/>
  <c r="F402" i="44" s="1"/>
  <c r="F386" i="44"/>
  <c r="F406" i="44" s="1"/>
  <c r="F753" i="44"/>
  <c r="F769" i="44" s="1"/>
  <c r="F677" i="44"/>
  <c r="F678" i="44" s="1"/>
  <c r="F484" i="44"/>
  <c r="F504" i="44"/>
  <c r="F520" i="44" s="1"/>
  <c r="F538" i="44" s="1"/>
  <c r="F620" i="44" s="1"/>
  <c r="F638" i="44" s="1"/>
  <c r="F105" i="49"/>
  <c r="C9" i="50" s="1"/>
  <c r="F491" i="44" l="1"/>
  <c r="F506" i="44" s="1"/>
  <c r="F522" i="44" s="1"/>
  <c r="F540" i="44" s="1"/>
  <c r="F459" i="44"/>
  <c r="F754" i="44"/>
  <c r="F770" i="44" s="1"/>
  <c r="F655" i="44"/>
  <c r="F110" i="49"/>
  <c r="C12" i="50"/>
  <c r="E32" i="45" s="1"/>
  <c r="G732" i="44"/>
  <c r="G734" i="44"/>
  <c r="G736" i="44"/>
  <c r="G755" i="44" l="1"/>
  <c r="G735" i="44"/>
  <c r="G706" i="44" l="1"/>
  <c r="A669" i="44" l="1"/>
  <c r="A672" i="44" l="1"/>
  <c r="A673" i="44" l="1"/>
  <c r="A674" i="44" s="1"/>
  <c r="A675" i="44" s="1"/>
  <c r="A679" i="44" l="1"/>
  <c r="A683" i="44" s="1"/>
  <c r="A684" i="44" s="1"/>
  <c r="A685" i="44" s="1"/>
  <c r="A686" i="44" s="1"/>
  <c r="A687" i="44" s="1"/>
  <c r="A688" i="44" s="1"/>
  <c r="A689" i="44" s="1"/>
  <c r="A690" i="44" l="1"/>
  <c r="A691" i="44" s="1"/>
  <c r="A692" i="44" s="1"/>
  <c r="A693" i="44" s="1"/>
  <c r="A694" i="44" s="1"/>
  <c r="A695" i="44" s="1"/>
  <c r="A696" i="44" s="1"/>
  <c r="A697" i="44" s="1"/>
  <c r="A698" i="44" s="1"/>
  <c r="A699" i="44" s="1"/>
  <c r="G440" i="44"/>
  <c r="A700" i="44" l="1"/>
  <c r="A701" i="44" s="1"/>
  <c r="A702" i="44" s="1"/>
  <c r="A703" i="44" s="1"/>
  <c r="A704" i="44" s="1"/>
  <c r="A705" i="44" s="1"/>
  <c r="A706" i="44" s="1"/>
  <c r="A707" i="44" l="1"/>
  <c r="A708" i="44" s="1"/>
  <c r="A709" i="44" s="1"/>
  <c r="A710" i="44" l="1"/>
  <c r="A711" i="44" s="1"/>
  <c r="A713" i="44" l="1"/>
  <c r="A714" i="44" s="1"/>
  <c r="A715" i="44" s="1"/>
  <c r="A716" i="44" s="1"/>
  <c r="A717" i="44" s="1"/>
  <c r="A718" i="44" s="1"/>
  <c r="A719" i="44" s="1"/>
  <c r="A720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733" i="44" s="1"/>
  <c r="A734" i="44" s="1"/>
  <c r="A735" i="44" s="1"/>
  <c r="A736" i="44" s="1"/>
  <c r="A737" i="44" s="1"/>
  <c r="A738" i="44" s="1"/>
  <c r="A739" i="44" s="1"/>
  <c r="A740" i="44" s="1"/>
  <c r="A745" i="44" s="1"/>
  <c r="A746" i="44" s="1"/>
  <c r="A747" i="44" s="1"/>
  <c r="A752" i="44" s="1"/>
  <c r="A753" i="44" s="1"/>
  <c r="A754" i="44" s="1"/>
  <c r="A755" i="44" s="1"/>
  <c r="A756" i="44" s="1"/>
  <c r="A757" i="44" s="1"/>
  <c r="A758" i="44" s="1"/>
  <c r="A759" i="44" s="1"/>
  <c r="A761" i="44" s="1"/>
  <c r="A762" i="44" s="1"/>
  <c r="A763" i="44" s="1"/>
  <c r="A764" i="44" s="1"/>
  <c r="A765" i="44" s="1"/>
  <c r="A767" i="44" s="1"/>
  <c r="A768" i="44" s="1"/>
  <c r="A769" i="44" s="1"/>
  <c r="A770" i="44" s="1"/>
  <c r="A771" i="44" s="1"/>
  <c r="A772" i="44" s="1"/>
  <c r="A712" i="44"/>
  <c r="G436" i="44" l="1"/>
  <c r="G434" i="44"/>
  <c r="G433" i="44"/>
  <c r="G649" i="44" l="1"/>
  <c r="G665" i="44" l="1"/>
  <c r="G472" i="44" l="1"/>
  <c r="L468" i="44"/>
  <c r="G464" i="44" l="1"/>
  <c r="G462" i="44"/>
  <c r="G463" i="44"/>
  <c r="A448" i="44" l="1"/>
  <c r="A449" i="44" s="1"/>
  <c r="A450" i="44" s="1"/>
  <c r="A451" i="44" s="1"/>
  <c r="A452" i="44" s="1"/>
  <c r="B31" i="45"/>
  <c r="A31" i="45"/>
  <c r="A453" i="44" l="1"/>
  <c r="A454" i="44" s="1"/>
  <c r="A455" i="44" s="1"/>
  <c r="G408" i="44" l="1"/>
  <c r="G388" i="44"/>
  <c r="B30" i="45" l="1"/>
  <c r="A30" i="45"/>
  <c r="B28" i="45"/>
  <c r="A28" i="45"/>
  <c r="A592" i="44"/>
  <c r="A593" i="44" s="1"/>
  <c r="A594" i="44" s="1"/>
  <c r="A595" i="44" s="1"/>
  <c r="A596" i="44" s="1"/>
  <c r="A597" i="44" s="1"/>
  <c r="A598" i="44" s="1"/>
  <c r="A599" i="44" l="1"/>
  <c r="A600" i="44" s="1"/>
  <c r="A601" i="44" l="1"/>
  <c r="A602" i="44" s="1"/>
  <c r="A603" i="44" s="1"/>
  <c r="A604" i="44" s="1"/>
  <c r="A605" i="44" s="1"/>
  <c r="C5" i="45" l="1"/>
  <c r="G20" i="44" l="1"/>
  <c r="G629" i="44" l="1"/>
  <c r="G567" i="44"/>
  <c r="G568" i="44"/>
  <c r="G366" i="44"/>
  <c r="G202" i="44"/>
  <c r="G186" i="44"/>
  <c r="G26" i="44"/>
  <c r="G19" i="44"/>
  <c r="G21" i="44"/>
  <c r="G559" i="44"/>
  <c r="G558" i="44" l="1"/>
  <c r="G560" i="44"/>
  <c r="G203" i="44"/>
  <c r="C6" i="45" l="1"/>
  <c r="C4" i="45"/>
  <c r="A501" i="44" l="1"/>
  <c r="A502" i="44" s="1"/>
  <c r="A503" i="44" s="1"/>
  <c r="A504" i="44" s="1"/>
  <c r="A505" i="44" s="1"/>
  <c r="B25" i="45"/>
  <c r="A25" i="45"/>
  <c r="G29" i="44"/>
  <c r="A506" i="44" l="1"/>
  <c r="A507" i="44" s="1"/>
  <c r="A508" i="44" s="1"/>
  <c r="G32" i="44"/>
  <c r="A509" i="44" l="1"/>
  <c r="A510" i="44" s="1"/>
  <c r="A511" i="44" s="1"/>
  <c r="A512" i="44" s="1"/>
  <c r="A513" i="44" s="1"/>
  <c r="A514" i="44" s="1"/>
  <c r="A516" i="44" s="1"/>
  <c r="A517" i="44" s="1"/>
  <c r="A518" i="44" s="1"/>
  <c r="A519" i="44" s="1"/>
  <c r="A520" i="44" s="1"/>
  <c r="A521" i="44" s="1"/>
  <c r="A522" i="44" s="1"/>
  <c r="A523" i="44" s="1"/>
  <c r="A524" i="44" s="1"/>
  <c r="G35" i="44"/>
  <c r="A525" i="44" l="1"/>
  <c r="A526" i="44" s="1"/>
  <c r="A527" i="44" s="1"/>
  <c r="A528" i="44" s="1"/>
  <c r="A529" i="44" s="1"/>
  <c r="A530" i="44" s="1"/>
  <c r="A531" i="44" s="1"/>
  <c r="A532" i="44" s="1"/>
  <c r="A534" i="44" s="1"/>
  <c r="G626" i="44" l="1"/>
  <c r="B29" i="45" l="1"/>
  <c r="A29" i="45"/>
  <c r="G628" i="44"/>
  <c r="G630" i="44" l="1"/>
  <c r="A612" i="44"/>
  <c r="A613" i="44" s="1"/>
  <c r="A614" i="44" s="1"/>
  <c r="A615" i="44" l="1"/>
  <c r="A636" i="44" l="1"/>
  <c r="A637" i="44" s="1"/>
  <c r="A638" i="44" s="1"/>
  <c r="A639" i="44" s="1"/>
  <c r="A616" i="44"/>
  <c r="A617" i="44" s="1"/>
  <c r="A618" i="44" s="1"/>
  <c r="A619" i="44" s="1"/>
  <c r="A620" i="44" s="1"/>
  <c r="A640" i="44" l="1"/>
  <c r="A642" i="44" s="1"/>
  <c r="A622" i="44"/>
  <c r="A621" i="44"/>
  <c r="A623" i="44" s="1"/>
  <c r="B26" i="45"/>
  <c r="A26" i="45"/>
  <c r="G575" i="44"/>
  <c r="G576" i="44"/>
  <c r="G571" i="44"/>
  <c r="G572" i="44"/>
  <c r="A643" i="44" l="1"/>
  <c r="A644" i="44" s="1"/>
  <c r="A645" i="44" s="1"/>
  <c r="A646" i="44" s="1"/>
  <c r="G574" i="44"/>
  <c r="G566" i="44"/>
  <c r="A624" i="44"/>
  <c r="A625" i="44" s="1"/>
  <c r="A626" i="44" s="1"/>
  <c r="A627" i="44" s="1"/>
  <c r="G570" i="44"/>
  <c r="A647" i="44" l="1"/>
  <c r="A648" i="44" s="1"/>
  <c r="A649" i="44" s="1"/>
  <c r="A652" i="44" s="1"/>
  <c r="A653" i="44" s="1"/>
  <c r="A654" i="44" s="1"/>
  <c r="A655" i="44" s="1"/>
  <c r="A656" i="44" s="1"/>
  <c r="A628" i="44"/>
  <c r="A629" i="44" s="1"/>
  <c r="A630" i="44" s="1"/>
  <c r="A566" i="44"/>
  <c r="A567" i="44" s="1"/>
  <c r="A568" i="44" s="1"/>
  <c r="A570" i="44" s="1"/>
  <c r="A571" i="44" s="1"/>
  <c r="A572" i="44" s="1"/>
  <c r="A574" i="44" s="1"/>
  <c r="A575" i="44" s="1"/>
  <c r="A576" i="44" s="1"/>
  <c r="B18" i="45"/>
  <c r="A18" i="45"/>
  <c r="A658" i="44" l="1"/>
  <c r="A659" i="44" s="1"/>
  <c r="A660" i="44" s="1"/>
  <c r="A661" i="44" s="1"/>
  <c r="A662" i="44" s="1"/>
  <c r="A663" i="44" s="1"/>
  <c r="A664" i="44" s="1"/>
  <c r="A665" i="44" s="1"/>
  <c r="B14" i="45" l="1"/>
  <c r="A14" i="45"/>
  <c r="G128" i="44" l="1"/>
  <c r="G118" i="44"/>
  <c r="G108" i="44" l="1"/>
  <c r="G98" i="44"/>
  <c r="A96" i="44" l="1"/>
  <c r="A97" i="44" s="1"/>
  <c r="A98" i="44" s="1"/>
  <c r="A99" i="44" s="1"/>
  <c r="A100" i="44" s="1"/>
  <c r="A101" i="44" s="1"/>
  <c r="A102" i="44" s="1"/>
  <c r="B15" i="45"/>
  <c r="A15" i="45"/>
  <c r="G139" i="44"/>
  <c r="G204" i="44"/>
  <c r="G150" i="44" l="1"/>
  <c r="A103" i="44"/>
  <c r="A105" i="44" s="1"/>
  <c r="A106" i="44" s="1"/>
  <c r="A107" i="44" s="1"/>
  <c r="A108" i="44" s="1"/>
  <c r="A109" i="44" s="1"/>
  <c r="A110" i="44" s="1"/>
  <c r="A111" i="44" s="1"/>
  <c r="A112" i="44" s="1"/>
  <c r="A113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5" i="44" s="1"/>
  <c r="A126" i="44" s="1"/>
  <c r="A127" i="44" s="1"/>
  <c r="A128" i="44" s="1"/>
  <c r="A129" i="44" s="1"/>
  <c r="A130" i="44" s="1"/>
  <c r="A131" i="44" s="1"/>
  <c r="A132" i="44" s="1"/>
  <c r="G201" i="44" l="1"/>
  <c r="G196" i="44"/>
  <c r="B17" i="45" l="1"/>
  <c r="A17" i="45"/>
  <c r="A192" i="44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G185" i="44"/>
  <c r="A168" i="44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G187" i="44" l="1"/>
  <c r="A203" i="44"/>
  <c r="A204" i="44" s="1"/>
  <c r="A180" i="44"/>
  <c r="A181" i="44" s="1"/>
  <c r="A182" i="44" s="1"/>
  <c r="A183" i="44" s="1"/>
  <c r="A184" i="44" s="1"/>
  <c r="A185" i="44" s="1"/>
  <c r="A186" i="44" s="1"/>
  <c r="A187" i="44" s="1"/>
  <c r="B16" i="45" l="1"/>
  <c r="A16" i="45"/>
  <c r="B20" i="45"/>
  <c r="A20" i="45"/>
  <c r="B27" i="45"/>
  <c r="A27" i="45"/>
  <c r="B24" i="45"/>
  <c r="A24" i="45"/>
  <c r="B23" i="45"/>
  <c r="A23" i="45"/>
  <c r="B22" i="45"/>
  <c r="A22" i="45"/>
  <c r="B19" i="45"/>
  <c r="A19" i="45"/>
  <c r="B21" i="45"/>
  <c r="A21" i="45"/>
  <c r="B13" i="45"/>
  <c r="A13" i="45"/>
  <c r="B12" i="45"/>
  <c r="A12" i="45"/>
  <c r="B11" i="45"/>
  <c r="A11" i="45"/>
  <c r="B10" i="45"/>
  <c r="A10" i="45"/>
  <c r="G367" i="44" l="1"/>
  <c r="G363" i="44"/>
  <c r="A351" i="44" l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A368" i="44" s="1"/>
  <c r="A369" i="44" s="1"/>
  <c r="A370" i="44" s="1"/>
  <c r="A372" i="44" s="1"/>
  <c r="A373" i="44" l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2" i="44" l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A405" i="44" s="1"/>
  <c r="A406" i="44" s="1"/>
  <c r="A407" i="44" s="1"/>
  <c r="A408" i="44" s="1"/>
  <c r="A409" i="44" s="1"/>
  <c r="A410" i="44" s="1"/>
  <c r="G494" i="44" l="1"/>
  <c r="A478" i="44" l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90" i="44" s="1"/>
  <c r="A491" i="44" s="1"/>
  <c r="A492" i="44" s="1"/>
  <c r="A493" i="44" s="1"/>
  <c r="A210" i="44" l="1"/>
  <c r="A211" i="44" s="1"/>
  <c r="A212" i="44" s="1"/>
  <c r="A213" i="44" s="1"/>
  <c r="A215" i="44" s="1"/>
  <c r="G15" i="44"/>
  <c r="G14" i="44"/>
  <c r="A216" i="44" l="1"/>
  <c r="A217" i="44" s="1"/>
  <c r="A218" i="44" l="1"/>
  <c r="A219" i="44" s="1"/>
  <c r="A220" i="44" s="1"/>
  <c r="A221" i="44" l="1"/>
  <c r="A222" i="44" s="1"/>
  <c r="A223" i="44" s="1"/>
  <c r="A224" i="44" s="1"/>
  <c r="A225" i="44" l="1"/>
  <c r="A226" i="44" s="1"/>
  <c r="A227" i="44" s="1"/>
  <c r="A229" i="44" s="1"/>
  <c r="A230" i="44" l="1"/>
  <c r="A231" i="44" s="1"/>
  <c r="A232" i="44" l="1"/>
  <c r="A233" i="44" s="1"/>
  <c r="A236" i="44" s="1"/>
  <c r="A237" i="44" l="1"/>
  <c r="A238" i="44" s="1"/>
  <c r="A239" i="44" s="1"/>
  <c r="A240" i="44" l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l="1"/>
  <c r="A255" i="44" s="1"/>
  <c r="A256" i="44" s="1"/>
  <c r="A257" i="44" s="1"/>
  <c r="G583" i="44"/>
  <c r="A258" i="44" l="1"/>
  <c r="A259" i="44" s="1"/>
  <c r="A262" i="44" s="1"/>
  <c r="A263" i="44" l="1"/>
  <c r="A264" i="44" s="1"/>
  <c r="A265" i="44" l="1"/>
  <c r="A266" i="44" s="1"/>
  <c r="A268" i="44" s="1"/>
  <c r="A269" i="44" l="1"/>
  <c r="A270" i="44" s="1"/>
  <c r="A271" i="44" s="1"/>
  <c r="A272" i="44" s="1"/>
  <c r="A273" i="44" s="1"/>
  <c r="A274" i="44" s="1"/>
  <c r="A275" i="44" s="1"/>
  <c r="A276" i="44" s="1"/>
  <c r="A277" i="44" s="1"/>
  <c r="A278" i="44" s="1"/>
  <c r="A6" i="45"/>
  <c r="A4" i="45"/>
  <c r="A581" i="44"/>
  <c r="A582" i="44" s="1"/>
  <c r="A583" i="44" s="1"/>
  <c r="A584" i="44" s="1"/>
  <c r="A585" i="44" s="1"/>
  <c r="A586" i="44" s="1"/>
  <c r="A587" i="44" s="1"/>
  <c r="G564" i="44"/>
  <c r="G562" i="44" s="1"/>
  <c r="G471" i="44"/>
  <c r="A415" i="44"/>
  <c r="A416" i="44" s="1"/>
  <c r="A417" i="44" s="1"/>
  <c r="A418" i="44" s="1"/>
  <c r="A419" i="44" s="1"/>
  <c r="A339" i="44"/>
  <c r="A340" i="44" s="1"/>
  <c r="A341" i="44" s="1"/>
  <c r="A342" i="44" s="1"/>
  <c r="A343" i="44" s="1"/>
  <c r="A344" i="44" s="1"/>
  <c r="A345" i="44" s="1"/>
  <c r="A323" i="44"/>
  <c r="A324" i="44" s="1"/>
  <c r="A325" i="44" s="1"/>
  <c r="A326" i="44" s="1"/>
  <c r="A327" i="44" s="1"/>
  <c r="A328" i="44" s="1"/>
  <c r="A329" i="44" s="1"/>
  <c r="G320" i="44"/>
  <c r="G319" i="44"/>
  <c r="G317" i="44"/>
  <c r="A312" i="44"/>
  <c r="A313" i="44" s="1"/>
  <c r="A314" i="44" s="1"/>
  <c r="A315" i="44" s="1"/>
  <c r="A316" i="44" s="1"/>
  <c r="A317" i="44" s="1"/>
  <c r="A318" i="44" s="1"/>
  <c r="A319" i="44" s="1"/>
  <c r="A320" i="44" s="1"/>
  <c r="A494" i="44"/>
  <c r="A495" i="44" s="1"/>
  <c r="A496" i="44" s="1"/>
  <c r="A137" i="44"/>
  <c r="A138" i="44" s="1"/>
  <c r="A139" i="44" s="1"/>
  <c r="A140" i="44" s="1"/>
  <c r="A42" i="44"/>
  <c r="A43" i="44" s="1"/>
  <c r="A44" i="44" s="1"/>
  <c r="A46" i="44" s="1"/>
  <c r="A47" i="44" s="1"/>
  <c r="A48" i="44" s="1"/>
  <c r="A49" i="44" s="1"/>
  <c r="A51" i="44" s="1"/>
  <c r="A52" i="44" s="1"/>
  <c r="A53" i="44" s="1"/>
  <c r="A54" i="44" s="1"/>
  <c r="A56" i="44" s="1"/>
  <c r="A57" i="44" s="1"/>
  <c r="A58" i="44" s="1"/>
  <c r="A59" i="44" s="1"/>
  <c r="A61" i="44" s="1"/>
  <c r="A62" i="44" s="1"/>
  <c r="A63" i="44" s="1"/>
  <c r="A64" i="44" s="1"/>
  <c r="A66" i="44" s="1"/>
  <c r="A67" i="44" s="1"/>
  <c r="A68" i="44" s="1"/>
  <c r="A69" i="44" s="1"/>
  <c r="A26" i="44"/>
  <c r="A28" i="44" s="1"/>
  <c r="A29" i="44" s="1"/>
  <c r="A31" i="44" s="1"/>
  <c r="A32" i="44" s="1"/>
  <c r="A34" i="44" s="1"/>
  <c r="A35" i="44" s="1"/>
  <c r="A14" i="44"/>
  <c r="A15" i="44" s="1"/>
  <c r="A16" i="44" s="1"/>
  <c r="A17" i="44" s="1"/>
  <c r="A18" i="44" s="1"/>
  <c r="A19" i="44" s="1"/>
  <c r="A20" i="44" s="1"/>
  <c r="A21" i="44" s="1"/>
  <c r="G13" i="44"/>
  <c r="A279" i="44" l="1"/>
  <c r="A280" i="44" s="1"/>
  <c r="A282" i="44" s="1"/>
  <c r="A420" i="44"/>
  <c r="A421" i="44" s="1"/>
  <c r="A422" i="44" s="1"/>
  <c r="A423" i="44" s="1"/>
  <c r="A424" i="44" s="1"/>
  <c r="A425" i="44" s="1"/>
  <c r="A456" i="44"/>
  <c r="A457" i="44" s="1"/>
  <c r="A458" i="44" s="1"/>
  <c r="A330" i="44"/>
  <c r="A331" i="44" s="1"/>
  <c r="A332" i="44" s="1"/>
  <c r="A333" i="44" s="1"/>
  <c r="A334" i="44" s="1"/>
  <c r="E26" i="45"/>
  <c r="A141" i="44"/>
  <c r="A142" i="44" s="1"/>
  <c r="A143" i="44" s="1"/>
  <c r="A74" i="44"/>
  <c r="A75" i="44" s="1"/>
  <c r="A346" i="44"/>
  <c r="A283" i="44" l="1"/>
  <c r="A284" i="44" s="1"/>
  <c r="A426" i="44"/>
  <c r="A427" i="44" s="1"/>
  <c r="A428" i="44" s="1"/>
  <c r="A459" i="44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76" i="44"/>
  <c r="A77" i="44" s="1"/>
  <c r="A78" i="44" s="1"/>
  <c r="A79" i="44" s="1"/>
  <c r="A80" i="44" s="1"/>
  <c r="A81" i="44" s="1"/>
  <c r="A83" i="44" s="1"/>
  <c r="A84" i="44" s="1"/>
  <c r="A85" i="44" s="1"/>
  <c r="A86" i="44" s="1"/>
  <c r="A144" i="44"/>
  <c r="A285" i="44" l="1"/>
  <c r="A286" i="44" s="1"/>
  <c r="A289" i="44" s="1"/>
  <c r="A290" i="44" s="1"/>
  <c r="A291" i="44" s="1"/>
  <c r="A145" i="44"/>
  <c r="A147" i="44" s="1"/>
  <c r="A148" i="44" s="1"/>
  <c r="A149" i="44" s="1"/>
  <c r="A150" i="44" s="1"/>
  <c r="A151" i="44" s="1"/>
  <c r="A152" i="44" s="1"/>
  <c r="A153" i="44" s="1"/>
  <c r="A154" i="44" s="1"/>
  <c r="A156" i="44" s="1"/>
  <c r="A157" i="44" s="1"/>
  <c r="A158" i="44" s="1"/>
  <c r="A159" i="44" s="1"/>
  <c r="A160" i="44" s="1"/>
  <c r="A161" i="44" s="1"/>
  <c r="A162" i="44" s="1"/>
  <c r="A163" i="44" s="1"/>
  <c r="A429" i="44"/>
  <c r="A430" i="44" s="1"/>
  <c r="A431" i="44" s="1"/>
  <c r="A432" i="44" s="1"/>
  <c r="A433" i="44" s="1"/>
  <c r="A87" i="44"/>
  <c r="A88" i="44" s="1"/>
  <c r="A89" i="44" s="1"/>
  <c r="A90" i="44" s="1"/>
  <c r="A91" i="44" s="1"/>
  <c r="A292" i="44" l="1"/>
  <c r="A293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434" i="44"/>
  <c r="A435" i="44" s="1"/>
  <c r="A436" i="44" s="1"/>
  <c r="A437" i="44" s="1"/>
  <c r="A438" i="44" s="1"/>
  <c r="A439" i="44" s="1"/>
  <c r="A440" i="44" l="1"/>
  <c r="A441" i="44" s="1"/>
  <c r="A442" i="44" s="1"/>
  <c r="A443" i="44" s="1"/>
  <c r="G580" i="44" l="1"/>
  <c r="G772" i="44"/>
  <c r="G762" i="44"/>
  <c r="G448" i="44"/>
  <c r="G683" i="44"/>
  <c r="G763" i="44"/>
  <c r="G769" i="44"/>
  <c r="G678" i="44"/>
  <c r="G677" i="44"/>
  <c r="G676" i="44"/>
  <c r="G753" i="44"/>
  <c r="G592" i="44"/>
  <c r="G759" i="44"/>
  <c r="G37" i="44"/>
  <c r="G143" i="44"/>
  <c r="G81" i="44"/>
  <c r="G145" i="44"/>
  <c r="G503" i="44"/>
  <c r="G210" i="44"/>
  <c r="G218" i="44"/>
  <c r="G230" i="44"/>
  <c r="G170" i="44"/>
  <c r="G340" i="44"/>
  <c r="G500" i="44"/>
  <c r="G209" i="44"/>
  <c r="G215" i="44"/>
  <c r="G229" i="44"/>
  <c r="G42" i="44"/>
  <c r="G502" i="44"/>
  <c r="G637" i="44"/>
  <c r="G614" i="44"/>
  <c r="G96" i="44"/>
  <c r="G217" i="44"/>
  <c r="G193" i="44"/>
  <c r="G137" i="44"/>
  <c r="G169" i="44"/>
  <c r="G74" i="44"/>
  <c r="G480" i="44"/>
  <c r="G581" i="44"/>
  <c r="G417" i="44"/>
  <c r="G450" i="44"/>
  <c r="G339" i="44"/>
  <c r="G324" i="44"/>
  <c r="G312" i="44"/>
  <c r="G713" i="44" l="1"/>
  <c r="G435" i="44"/>
  <c r="G460" i="44"/>
  <c r="G537" i="44"/>
  <c r="G519" i="44"/>
  <c r="G739" i="44"/>
  <c r="G536" i="44"/>
  <c r="G518" i="44"/>
  <c r="G625" i="44"/>
  <c r="G710" i="44"/>
  <c r="G671" i="44"/>
  <c r="G767" i="44"/>
  <c r="G752" i="44"/>
  <c r="G670" i="44"/>
  <c r="G534" i="44"/>
  <c r="G516" i="44"/>
  <c r="G591" i="44"/>
  <c r="G352" i="44"/>
  <c r="G353" i="44"/>
  <c r="G478" i="44"/>
  <c r="G613" i="44"/>
  <c r="G477" i="44"/>
  <c r="G25" i="44"/>
  <c r="G44" i="44"/>
  <c r="G102" i="44"/>
  <c r="G103" i="44"/>
  <c r="G47" i="44"/>
  <c r="G244" i="44"/>
  <c r="G255" i="44"/>
  <c r="G501" i="44"/>
  <c r="G636" i="44"/>
  <c r="G612" i="44"/>
  <c r="G216" i="44"/>
  <c r="G191" i="44"/>
  <c r="G167" i="44"/>
  <c r="G447" i="44"/>
  <c r="G338" i="44"/>
  <c r="G414" i="44"/>
  <c r="G322" i="44"/>
  <c r="G311" i="44"/>
  <c r="G116" i="44"/>
  <c r="G106" i="44"/>
  <c r="G126" i="44"/>
  <c r="G242" i="44"/>
  <c r="G84" i="44"/>
  <c r="G236" i="44"/>
  <c r="G256" i="44"/>
  <c r="G658" i="44"/>
  <c r="G642" i="44"/>
  <c r="G245" i="44"/>
  <c r="G654" i="44"/>
  <c r="G554" i="44"/>
  <c r="G237" i="44"/>
  <c r="G659" i="44"/>
  <c r="G643" i="44"/>
  <c r="G479" i="44"/>
  <c r="G555" i="44"/>
  <c r="G192" i="44"/>
  <c r="G168" i="44"/>
  <c r="G449" i="44"/>
  <c r="G416" i="44"/>
  <c r="G738" i="44"/>
  <c r="G493" i="44"/>
  <c r="G724" i="44"/>
  <c r="G725" i="44"/>
  <c r="G714" i="44"/>
  <c r="G727" i="44"/>
  <c r="G728" i="44"/>
  <c r="G717" i="44"/>
  <c r="G722" i="44"/>
  <c r="G726" i="44"/>
  <c r="G729" i="44"/>
  <c r="G756" i="44"/>
  <c r="G758" i="44"/>
  <c r="G702" i="44"/>
  <c r="G586" i="44"/>
  <c r="G701" i="44"/>
  <c r="G703" i="44"/>
  <c r="G723" i="44"/>
  <c r="G730" i="44"/>
  <c r="G405" i="44" l="1"/>
  <c r="G385" i="44"/>
  <c r="G461" i="44"/>
  <c r="G469" i="44"/>
  <c r="G468" i="44"/>
  <c r="G323" i="44"/>
  <c r="G761" i="44"/>
  <c r="G674" i="44"/>
  <c r="G144" i="44"/>
  <c r="G705" i="44"/>
  <c r="G757" i="44"/>
  <c r="G601" i="44"/>
  <c r="G704" i="44"/>
  <c r="G407" i="44"/>
  <c r="G745" i="44"/>
  <c r="G718" i="44"/>
  <c r="G770" i="44"/>
  <c r="G754" i="44"/>
  <c r="G716" i="44"/>
  <c r="G715" i="44"/>
  <c r="G415" i="44"/>
  <c r="G768" i="44"/>
  <c r="G672" i="44"/>
  <c r="G535" i="44"/>
  <c r="G517" i="44"/>
  <c r="G459" i="44"/>
  <c r="G603" i="44"/>
  <c r="G602" i="44"/>
  <c r="G660" i="44"/>
  <c r="G644" i="44"/>
  <c r="G43" i="44"/>
  <c r="G455" i="44"/>
  <c r="G375" i="44"/>
  <c r="G374" i="44"/>
  <c r="G656" i="44"/>
  <c r="G403" i="44"/>
  <c r="G404" i="44"/>
  <c r="G350" i="44"/>
  <c r="G392" i="44"/>
  <c r="G351" i="44"/>
  <c r="G393" i="44"/>
  <c r="G154" i="44"/>
  <c r="G148" i="44"/>
  <c r="G18" i="44"/>
  <c r="G49" i="44"/>
  <c r="G473" i="44"/>
  <c r="G344" i="44"/>
  <c r="G443" i="44"/>
  <c r="G627" i="44"/>
  <c r="G621" i="44"/>
  <c r="G506" i="44"/>
  <c r="G640" i="44"/>
  <c r="G623" i="44"/>
  <c r="G504" i="44"/>
  <c r="G620" i="44"/>
  <c r="G28" i="44"/>
  <c r="G283" i="44"/>
  <c r="G156" i="44"/>
  <c r="G136" i="44"/>
  <c r="G282" i="44"/>
  <c r="G271" i="44"/>
  <c r="G262" i="44"/>
  <c r="G115" i="44"/>
  <c r="G105" i="44"/>
  <c r="G125" i="44"/>
  <c r="G95" i="44"/>
  <c r="G270" i="44"/>
  <c r="G263" i="44"/>
  <c r="G83" i="44"/>
  <c r="G73" i="44"/>
  <c r="G52" i="44"/>
  <c r="G268" i="44"/>
  <c r="G41" i="44"/>
  <c r="G653" i="44"/>
  <c r="G132" i="44"/>
  <c r="G123" i="44"/>
  <c r="G113" i="44"/>
  <c r="G243" i="44"/>
  <c r="G112" i="44"/>
  <c r="G122" i="44"/>
  <c r="G101" i="44"/>
  <c r="G200" i="44"/>
  <c r="G184" i="44"/>
  <c r="G99" i="44"/>
  <c r="G140" i="44"/>
  <c r="G198" i="44"/>
  <c r="G182" i="44"/>
  <c r="G79" i="44"/>
  <c r="G624" i="44"/>
  <c r="G224" i="44"/>
  <c r="G223" i="44"/>
  <c r="G100" i="44"/>
  <c r="G197" i="44"/>
  <c r="G199" i="44"/>
  <c r="G183" i="44"/>
  <c r="G181" i="44"/>
  <c r="G97" i="44"/>
  <c r="G195" i="44"/>
  <c r="G138" i="44"/>
  <c r="G179" i="44"/>
  <c r="G91" i="44"/>
  <c r="G484" i="44"/>
  <c r="G75" i="44"/>
  <c r="G454" i="44"/>
  <c r="G425" i="44"/>
  <c r="G343" i="44"/>
  <c r="G313" i="44"/>
  <c r="G490" i="44"/>
  <c r="G491" i="44"/>
  <c r="G488" i="44"/>
  <c r="G487" i="44"/>
  <c r="G442" i="44"/>
  <c r="G458" i="44"/>
  <c r="G587" i="44"/>
  <c r="G316" i="44"/>
  <c r="G329" i="44"/>
  <c r="G318" i="44"/>
  <c r="G485" i="44"/>
  <c r="G437" i="44"/>
  <c r="G456" i="44"/>
  <c r="G486" i="44"/>
  <c r="G457" i="44"/>
  <c r="G333" i="44"/>
  <c r="G17" i="44"/>
  <c r="G431" i="44"/>
  <c r="G11" i="44" l="1"/>
  <c r="G142" i="44"/>
  <c r="G141" i="44"/>
  <c r="G387" i="44"/>
  <c r="G439" i="44"/>
  <c r="G604" i="44"/>
  <c r="G426" i="44"/>
  <c r="G430" i="44"/>
  <c r="G746" i="44"/>
  <c r="G712" i="44"/>
  <c r="G711" i="44"/>
  <c r="G540" i="44"/>
  <c r="G522" i="44"/>
  <c r="G747" i="44"/>
  <c r="G740" i="44"/>
  <c r="G605" i="44"/>
  <c r="G682" i="44"/>
  <c r="G681" i="44"/>
  <c r="G680" i="44"/>
  <c r="G593" i="44"/>
  <c r="G538" i="44"/>
  <c r="G520" i="44"/>
  <c r="G48" i="44"/>
  <c r="G470" i="44"/>
  <c r="G639" i="44"/>
  <c r="G381" i="44"/>
  <c r="G401" i="44"/>
  <c r="G382" i="44"/>
  <c r="G402" i="44"/>
  <c r="G386" i="44"/>
  <c r="G373" i="44"/>
  <c r="G395" i="44"/>
  <c r="G372" i="44"/>
  <c r="G394" i="44"/>
  <c r="G358" i="44"/>
  <c r="G400" i="44"/>
  <c r="G354" i="44"/>
  <c r="G361" i="44"/>
  <c r="G359" i="44"/>
  <c r="G383" i="44"/>
  <c r="G360" i="44"/>
  <c r="G384" i="44"/>
  <c r="G147" i="44"/>
  <c r="G157" i="44"/>
  <c r="G54" i="44"/>
  <c r="G438" i="44"/>
  <c r="G492" i="44"/>
  <c r="G314" i="44"/>
  <c r="G615" i="44"/>
  <c r="G418" i="44"/>
  <c r="G582" i="44"/>
  <c r="G451" i="44"/>
  <c r="G341" i="44"/>
  <c r="G325" i="44"/>
  <c r="G31" i="44"/>
  <c r="G34" i="44"/>
  <c r="G219" i="44"/>
  <c r="G655" i="44"/>
  <c r="G638" i="44"/>
  <c r="G90" i="44"/>
  <c r="G80" i="44"/>
  <c r="G269" i="44"/>
  <c r="G46" i="44"/>
  <c r="G295" i="44"/>
  <c r="G290" i="44"/>
  <c r="G289" i="44"/>
  <c r="G57" i="44"/>
  <c r="G297" i="44"/>
  <c r="G298" i="44"/>
  <c r="G250" i="44"/>
  <c r="G129" i="44"/>
  <c r="G119" i="44"/>
  <c r="G109" i="44"/>
  <c r="G251" i="44"/>
  <c r="G89" i="44"/>
  <c r="G131" i="44"/>
  <c r="G111" i="44"/>
  <c r="G121" i="44"/>
  <c r="G130" i="44"/>
  <c r="G110" i="44"/>
  <c r="G120" i="44"/>
  <c r="G160" i="44"/>
  <c r="G158" i="44"/>
  <c r="G117" i="44"/>
  <c r="G107" i="44"/>
  <c r="G127" i="44"/>
  <c r="G85" i="44"/>
  <c r="G331" i="44"/>
  <c r="G585" i="44"/>
  <c r="G432" i="44"/>
  <c r="G93" i="44" l="1"/>
  <c r="G23" i="44"/>
  <c r="E11" i="45" s="1"/>
  <c r="G526" i="44"/>
  <c r="G544" i="44"/>
  <c r="G525" i="44"/>
  <c r="G543" i="44"/>
  <c r="G708" i="44"/>
  <c r="G707" i="44"/>
  <c r="G334" i="44"/>
  <c r="G733" i="44"/>
  <c r="G171" i="44"/>
  <c r="G53" i="44"/>
  <c r="G595" i="44"/>
  <c r="G594" i="44"/>
  <c r="G421" i="44"/>
  <c r="G376" i="44"/>
  <c r="G396" i="44"/>
  <c r="G389" i="44"/>
  <c r="G409" i="44"/>
  <c r="G380" i="44"/>
  <c r="G406" i="44"/>
  <c r="G362" i="44"/>
  <c r="G355" i="44"/>
  <c r="G151" i="44"/>
  <c r="G134" i="44" s="1"/>
  <c r="G161" i="44"/>
  <c r="G152" i="44"/>
  <c r="G162" i="44"/>
  <c r="G149" i="44"/>
  <c r="G159" i="44"/>
  <c r="G153" i="44"/>
  <c r="G163" i="44"/>
  <c r="G59" i="44"/>
  <c r="G220" i="44"/>
  <c r="G481" i="44"/>
  <c r="G365" i="44"/>
  <c r="G622" i="44"/>
  <c r="G180" i="44"/>
  <c r="G86" i="44"/>
  <c r="G76" i="44"/>
  <c r="G246" i="44"/>
  <c r="G62" i="44"/>
  <c r="G51" i="44"/>
  <c r="G296" i="44"/>
  <c r="E14" i="45"/>
  <c r="E10" i="45"/>
  <c r="G277" i="44"/>
  <c r="G617" i="44"/>
  <c r="G173" i="44"/>
  <c r="G276" i="44"/>
  <c r="G709" i="44" l="1"/>
  <c r="G58" i="44"/>
  <c r="G600" i="44"/>
  <c r="G453" i="44"/>
  <c r="G399" i="44"/>
  <c r="G398" i="44"/>
  <c r="G64" i="44"/>
  <c r="G377" i="44"/>
  <c r="G397" i="44"/>
  <c r="G364" i="44"/>
  <c r="E15" i="45"/>
  <c r="G247" i="44"/>
  <c r="G505" i="44"/>
  <c r="G194" i="44"/>
  <c r="G189" i="44" s="1"/>
  <c r="G419" i="44"/>
  <c r="G424" i="44"/>
  <c r="G299" i="44"/>
  <c r="G272" i="44"/>
  <c r="G56" i="44"/>
  <c r="G67" i="44"/>
  <c r="G303" i="44"/>
  <c r="G174" i="44"/>
  <c r="G304" i="44"/>
  <c r="G328" i="44"/>
  <c r="G441" i="44"/>
  <c r="G330" i="44"/>
  <c r="G332" i="44"/>
  <c r="G731" i="44"/>
  <c r="G737" i="44"/>
  <c r="G719" i="44"/>
  <c r="G765" i="44"/>
  <c r="G63" i="44" l="1"/>
  <c r="G539" i="44"/>
  <c r="G521" i="44"/>
  <c r="G172" i="44"/>
  <c r="G423" i="44"/>
  <c r="G378" i="44"/>
  <c r="G69" i="44"/>
  <c r="G300" i="44"/>
  <c r="G273" i="44"/>
  <c r="G222" i="44"/>
  <c r="G356" i="44"/>
  <c r="G342" i="44"/>
  <c r="G315" i="44"/>
  <c r="G87" i="44"/>
  <c r="G77" i="44"/>
  <c r="G88" i="44"/>
  <c r="G78" i="44"/>
  <c r="G221" i="44"/>
  <c r="G482" i="44"/>
  <c r="G66" i="44"/>
  <c r="G61" i="44"/>
  <c r="G619" i="44"/>
  <c r="G178" i="44"/>
  <c r="G177" i="44"/>
  <c r="G71" i="44" l="1"/>
  <c r="E13" i="45" s="1"/>
  <c r="G68" i="44"/>
  <c r="G39" i="44" s="1"/>
  <c r="G694" i="44"/>
  <c r="G693" i="44"/>
  <c r="G692" i="44"/>
  <c r="G697" i="44"/>
  <c r="G691" i="44"/>
  <c r="G698" i="44"/>
  <c r="G699" i="44"/>
  <c r="G690" i="44"/>
  <c r="G689" i="44"/>
  <c r="G684" i="44"/>
  <c r="G771" i="44"/>
  <c r="G688" i="44"/>
  <c r="G541" i="44"/>
  <c r="G523" i="44"/>
  <c r="G542" i="44"/>
  <c r="G524" i="44"/>
  <c r="G686" i="44"/>
  <c r="G685" i="44"/>
  <c r="G597" i="44"/>
  <c r="G422" i="44"/>
  <c r="G596" i="44"/>
  <c r="G647" i="44"/>
  <c r="G646" i="44"/>
  <c r="G584" i="44"/>
  <c r="G357" i="44"/>
  <c r="G379" i="44"/>
  <c r="G248" i="44"/>
  <c r="G345" i="44"/>
  <c r="G483" i="44"/>
  <c r="G465" i="44"/>
  <c r="G249" i="44"/>
  <c r="G652" i="44"/>
  <c r="G635" i="44"/>
  <c r="G508" i="44"/>
  <c r="G176" i="44"/>
  <c r="G175" i="44"/>
  <c r="G618" i="44"/>
  <c r="G616" i="44"/>
  <c r="G610" i="44" s="1"/>
  <c r="G496" i="44"/>
  <c r="G420" i="44"/>
  <c r="G326" i="44"/>
  <c r="G764" i="44"/>
  <c r="G165" i="44" l="1"/>
  <c r="G578" i="44"/>
  <c r="E27" i="45" s="1"/>
  <c r="G232" i="44"/>
  <c r="G226" i="44"/>
  <c r="G227" i="44"/>
  <c r="G212" i="44"/>
  <c r="G700" i="44"/>
  <c r="G687" i="44"/>
  <c r="G696" i="44"/>
  <c r="G695" i="44"/>
  <c r="G599" i="44"/>
  <c r="G598" i="44"/>
  <c r="G589" i="44" s="1"/>
  <c r="G428" i="44"/>
  <c r="G662" i="44"/>
  <c r="G663" i="44"/>
  <c r="G369" i="44"/>
  <c r="G368" i="44"/>
  <c r="G467" i="44"/>
  <c r="G466" i="44"/>
  <c r="G556" i="44"/>
  <c r="G507" i="44"/>
  <c r="G302" i="44"/>
  <c r="G275" i="44"/>
  <c r="G301" i="44"/>
  <c r="G274" i="44"/>
  <c r="G225" i="44"/>
  <c r="G495" i="44"/>
  <c r="G475" i="44" s="1"/>
  <c r="G231" i="44"/>
  <c r="G211" i="44"/>
  <c r="G661" i="44"/>
  <c r="G645" i="44"/>
  <c r="G346" i="44"/>
  <c r="G336" i="44" s="1"/>
  <c r="G370" i="44"/>
  <c r="E16" i="45"/>
  <c r="G258" i="44"/>
  <c r="G253" i="44"/>
  <c r="G648" i="44"/>
  <c r="G239" i="44"/>
  <c r="G557" i="44"/>
  <c r="E29" i="45"/>
  <c r="E12" i="45"/>
  <c r="E17" i="45"/>
  <c r="G327" i="44"/>
  <c r="G309" i="44" s="1"/>
  <c r="G720" i="44"/>
  <c r="G498" i="44" l="1"/>
  <c r="E25" i="45" s="1"/>
  <c r="G233" i="44"/>
  <c r="G213" i="44"/>
  <c r="G452" i="44"/>
  <c r="G445" i="44" s="1"/>
  <c r="E28" i="45"/>
  <c r="G664" i="44"/>
  <c r="G673" i="44"/>
  <c r="G667" i="44" s="1"/>
  <c r="G429" i="44"/>
  <c r="G427" i="44"/>
  <c r="G390" i="44"/>
  <c r="G410" i="44"/>
  <c r="G348" i="44" s="1"/>
  <c r="G238" i="44"/>
  <c r="G284" i="44"/>
  <c r="G257" i="44"/>
  <c r="G252" i="44"/>
  <c r="E20" i="45"/>
  <c r="E24" i="45"/>
  <c r="E19" i="45"/>
  <c r="G265" i="44"/>
  <c r="G285" i="44"/>
  <c r="G412" i="44" l="1"/>
  <c r="E22" i="45" s="1"/>
  <c r="G632" i="44"/>
  <c r="E30" i="45" s="1"/>
  <c r="G259" i="44"/>
  <c r="G286" i="44"/>
  <c r="G279" i="44"/>
  <c r="G240" i="44"/>
  <c r="E31" i="45"/>
  <c r="E21" i="45"/>
  <c r="G291" i="44"/>
  <c r="G264" i="44"/>
  <c r="G305" i="44"/>
  <c r="G278" i="44"/>
  <c r="G292" i="44"/>
  <c r="G306" i="44"/>
  <c r="E23" i="45"/>
  <c r="G280" i="44" l="1"/>
  <c r="G307" i="44"/>
  <c r="G266" i="44"/>
  <c r="G293" i="44"/>
  <c r="G206" i="44" l="1"/>
  <c r="E18" i="45" l="1"/>
  <c r="E34" i="45" l="1"/>
  <c r="E35" i="45" s="1"/>
  <c r="E36" i="45" s="1"/>
  <c r="E37" i="45" s="1"/>
  <c r="E38" i="45" s="1"/>
  <c r="A535" i="44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4" i="44" s="1"/>
  <c r="A555" i="44" l="1"/>
  <c r="A556" i="44" s="1"/>
  <c r="A557" i="44" s="1"/>
  <c r="A558" i="44" s="1"/>
  <c r="A559" i="44" s="1"/>
  <c r="A560" i="44" s="1"/>
</calcChain>
</file>

<file path=xl/sharedStrings.xml><?xml version="1.0" encoding="utf-8"?>
<sst xmlns="http://schemas.openxmlformats.org/spreadsheetml/2006/main" count="1750" uniqueCount="596">
  <si>
    <t>URAIAN PEKERJAAN</t>
  </si>
  <si>
    <t>Kg</t>
  </si>
  <si>
    <t>Bh</t>
  </si>
  <si>
    <t>bh</t>
  </si>
  <si>
    <t>Unit</t>
  </si>
  <si>
    <t>-</t>
  </si>
  <si>
    <t>No.</t>
  </si>
  <si>
    <t>kg</t>
  </si>
  <si>
    <t>NO.</t>
  </si>
  <si>
    <t>unit</t>
  </si>
  <si>
    <t>Urugan pasir</t>
  </si>
  <si>
    <t>buah</t>
  </si>
  <si>
    <t>PEKERJAAN PERSIAPAN</t>
  </si>
  <si>
    <t>Air kerja</t>
  </si>
  <si>
    <t>m</t>
  </si>
  <si>
    <t>ls</t>
  </si>
  <si>
    <t>set</t>
  </si>
  <si>
    <t>Besi</t>
  </si>
  <si>
    <t>Acian</t>
  </si>
  <si>
    <t>Galian tanah</t>
  </si>
  <si>
    <t xml:space="preserve">PEKERJAAN  </t>
  </si>
  <si>
    <t xml:space="preserve">LOKASI         </t>
  </si>
  <si>
    <t xml:space="preserve">URAIAN PEKERJAAN </t>
  </si>
  <si>
    <t>VOLUME         SAT</t>
  </si>
  <si>
    <t>HARGA SATUAN                 (Rp.)</t>
  </si>
  <si>
    <t>JUMLAH                       (Rp.)</t>
  </si>
  <si>
    <t>Uitzet dan Bowplank</t>
  </si>
  <si>
    <t>Listrik  kerja</t>
  </si>
  <si>
    <t xml:space="preserve">Sewa Direksi keet </t>
  </si>
  <si>
    <t>Sewa  gudang material /alat</t>
  </si>
  <si>
    <t>Papan nama proyek</t>
  </si>
  <si>
    <t xml:space="preserve">Jalan masuk proyek sementara </t>
  </si>
  <si>
    <t>Administrasi dan Dokumentasi</t>
  </si>
  <si>
    <t>II.</t>
  </si>
  <si>
    <t>III.</t>
  </si>
  <si>
    <t>02. PEKERJAAN BRONJONG</t>
  </si>
  <si>
    <t>BRONJONG TYPE 1</t>
  </si>
  <si>
    <t xml:space="preserve">Galian Tanah </t>
  </si>
  <si>
    <r>
      <t>M</t>
    </r>
    <r>
      <rPr>
        <vertAlign val="superscript"/>
        <sz val="11"/>
        <rFont val="Tahoma"/>
        <family val="2"/>
      </rPr>
      <t>3</t>
    </r>
  </si>
  <si>
    <t>Pemadatan tanah</t>
  </si>
  <si>
    <r>
      <t>M</t>
    </r>
    <r>
      <rPr>
        <vertAlign val="superscript"/>
        <sz val="11"/>
        <rFont val="Tahoma"/>
        <family val="2"/>
      </rPr>
      <t>2</t>
    </r>
  </si>
  <si>
    <t>Pasang Bronjong kawat baja lapis galvanis lubang 8-10 cm</t>
  </si>
  <si>
    <t>Timbunan dengan tanah galian/Buang tanah di lokasi proyek diratakan dan dipadatkan</t>
  </si>
  <si>
    <t>BRONJONG TYPE 2</t>
  </si>
  <si>
    <t>BRONJONG TYPE 3</t>
  </si>
  <si>
    <t>BRONJONG TYPE 4</t>
  </si>
  <si>
    <t>BRONJONG TYPE 5</t>
  </si>
  <si>
    <t>BRONJONG TYPE 6</t>
  </si>
  <si>
    <t>IV.</t>
  </si>
  <si>
    <t>TALUD TYPE 1</t>
  </si>
  <si>
    <t xml:space="preserve">Pasang Batu belah 1Pc : 4 PP </t>
  </si>
  <si>
    <t>Pipa drain PVC 2" Type C (termasuk ijuk)</t>
  </si>
  <si>
    <r>
      <t>M</t>
    </r>
    <r>
      <rPr>
        <vertAlign val="superscript"/>
        <sz val="11"/>
        <rFont val="Tahoma"/>
        <family val="2"/>
      </rPr>
      <t>1</t>
    </r>
  </si>
  <si>
    <t>Plesteran 1 Pc : 2 Pp  Tebal 20 mm + acian</t>
  </si>
  <si>
    <t>Siar tenggelam Pondasi batu belah finish semen</t>
  </si>
  <si>
    <t>TALUD TYPE 2</t>
  </si>
  <si>
    <r>
      <t>M</t>
    </r>
    <r>
      <rPr>
        <vertAlign val="superscript"/>
        <sz val="11"/>
        <rFont val="Tahoma"/>
        <family val="2"/>
      </rPr>
      <t>2</t>
    </r>
    <r>
      <rPr>
        <sz val="11"/>
        <color theme="1"/>
        <rFont val="Calibri"/>
        <family val="2"/>
        <charset val="1"/>
        <scheme val="minor"/>
      </rPr>
      <t/>
    </r>
  </si>
  <si>
    <t>Kansteen beton K-300, Uk.10 x 20 x 50 cm STD</t>
  </si>
  <si>
    <r>
      <t>M</t>
    </r>
    <r>
      <rPr>
        <vertAlign val="superscript"/>
        <sz val="11"/>
        <color indexed="8"/>
        <rFont val="Tahoma"/>
        <family val="2"/>
      </rPr>
      <t>2</t>
    </r>
  </si>
  <si>
    <t>Komposbio ( 9 kg/krg )</t>
  </si>
  <si>
    <t>krg</t>
  </si>
  <si>
    <r>
      <t>M</t>
    </r>
    <r>
      <rPr>
        <vertAlign val="superscript"/>
        <sz val="11"/>
        <color indexed="8"/>
        <rFont val="Tahoma"/>
        <family val="2"/>
      </rPr>
      <t>3</t>
    </r>
  </si>
  <si>
    <t>Urugan pasir Urug</t>
  </si>
  <si>
    <t xml:space="preserve"> Urugan sirtu dipadatkan </t>
  </si>
  <si>
    <t>Lantai kerja K -100</t>
  </si>
  <si>
    <r>
      <t>M</t>
    </r>
    <r>
      <rPr>
        <vertAlign val="superscript"/>
        <sz val="11"/>
        <color indexed="8"/>
        <rFont val="Tahoma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</si>
  <si>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Plat lantai tebal 8 cm ( beton K-200,besi, begesting )</t>
  </si>
  <si>
    <t>Pondasi batu belah 1 pc : 4 psr</t>
  </si>
  <si>
    <t>Finish lantai beton aci tekstur alur</t>
  </si>
  <si>
    <t xml:space="preserve">Urugan sirtu dipadatkan </t>
  </si>
  <si>
    <r>
      <t>M</t>
    </r>
    <r>
      <rPr>
        <vertAlign val="superscript"/>
        <sz val="11"/>
        <rFont val="Tahoma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</si>
  <si>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Pas batu belah 1 pc : 4 psr</t>
  </si>
  <si>
    <t>X.</t>
  </si>
  <si>
    <t>Plat lantai tebal 8 cm ( beton K-200,besi Wiremesh M-6/15, begesting )</t>
  </si>
  <si>
    <t>Alur Uk. 2x5 cm Finis Aci</t>
  </si>
  <si>
    <t>Acian tepi beton</t>
  </si>
  <si>
    <t>PELINDUNG</t>
  </si>
  <si>
    <t>Urugan tanah kembali bekas galian</t>
  </si>
  <si>
    <r>
      <t>M</t>
    </r>
    <r>
      <rPr>
        <vertAlign val="superscript"/>
        <sz val="11"/>
        <color indexed="8"/>
        <rFont val="Tahoma"/>
        <family val="2"/>
      </rPr>
      <t>2</t>
    </r>
    <r>
      <rPr>
        <sz val="11"/>
        <color theme="1"/>
        <rFont val="Calibri"/>
        <family val="2"/>
        <scheme val="minor"/>
      </rPr>
      <t/>
    </r>
  </si>
  <si>
    <t>Acian seet beton</t>
  </si>
  <si>
    <r>
      <t>M</t>
    </r>
    <r>
      <rPr>
        <vertAlign val="superscript"/>
        <sz val="11"/>
        <color indexed="8"/>
        <rFont val="Tahoma"/>
        <family val="2"/>
      </rPr>
      <t>1</t>
    </r>
  </si>
  <si>
    <t>Angkur, baut, plat dan assesories lain</t>
  </si>
  <si>
    <t>XI.</t>
  </si>
  <si>
    <t>10. OUTDOOR GYM ( 3 UNIT )</t>
  </si>
  <si>
    <t>Finish lantai Floor hardenner</t>
  </si>
  <si>
    <t>Kolom  25 x 25 cm K1 ( beton K-200,besi, begesting ) + besi stek</t>
  </si>
  <si>
    <t>Balok  sirip 25 x 25 cm  ( beton K-200,besi, begesting ) + besi stek</t>
  </si>
  <si>
    <t>Kolom  25 x 50 cm K2 ( beton K-200,besi, begesting ) + besi stek</t>
  </si>
  <si>
    <t>Balok  25 x 50 cm  ( beton K-200,besi, begesting ) + besi stek</t>
  </si>
  <si>
    <t xml:space="preserve">Plesteran batu belah 1 Pc : 2 Pp  Tebal 20 mm </t>
  </si>
  <si>
    <t>12. GAZEBO ( 5 Unit )</t>
  </si>
  <si>
    <t>Plat lantai bawah ( beton K-200,Wiremesh M-6/15, begesting )</t>
  </si>
  <si>
    <t>Lantai batu sikat + finish coating</t>
  </si>
  <si>
    <t>Siar tenggelam Pondasi batu belah finish aci</t>
  </si>
  <si>
    <t xml:space="preserve">Acian </t>
  </si>
  <si>
    <t>14. JEMBATAN</t>
  </si>
  <si>
    <t>( Pekerjaan Baja dan Pipa sudah termasuk finishing )</t>
  </si>
  <si>
    <t xml:space="preserve">Rangka pipa galvanis 2" tebal 3,4 mm  + finish cat duco </t>
  </si>
  <si>
    <t xml:space="preserve">Rangka pipa galvanis 1/2" tebal 2,45 mm  + finish cat duco </t>
  </si>
  <si>
    <t xml:space="preserve">Rangka Canal C 125 x 50 x 20 x 3,2 + finish cat duco </t>
  </si>
  <si>
    <t xml:space="preserve">Rangka Siku 50.50.5 + finish cat duco </t>
  </si>
  <si>
    <t>Angkur, baut, plat dan assesories lain + finish cat duco</t>
  </si>
  <si>
    <t>Phn</t>
  </si>
  <si>
    <t>Acian Tekstur</t>
  </si>
  <si>
    <t>Galian Tanah sumuran dan Pilcap</t>
  </si>
  <si>
    <t>Cassing buis beton Ø dalam 100 cm</t>
  </si>
  <si>
    <t>Beton  K-250</t>
  </si>
  <si>
    <t>Bekesting</t>
  </si>
  <si>
    <t>Acian Beton</t>
  </si>
  <si>
    <t>JUMLAH                   (Rp.)</t>
  </si>
  <si>
    <t>JUMLAH  TOTAL</t>
  </si>
  <si>
    <t xml:space="preserve">PPN 11 %   </t>
  </si>
  <si>
    <t xml:space="preserve">JUMLAH  </t>
  </si>
  <si>
    <t xml:space="preserve">JUMLAH  ( Dibulatkan ) </t>
  </si>
  <si>
    <t>Finish lantai beton aci tekstur</t>
  </si>
  <si>
    <t>Plat lantai atas ( beton K-200,besi, begesting )</t>
  </si>
  <si>
    <t xml:space="preserve">Plesteran 1 Pc : 2 Pp  Tebal 20 mm </t>
  </si>
  <si>
    <t>IX.</t>
  </si>
  <si>
    <r>
      <t>M</t>
    </r>
    <r>
      <rPr>
        <vertAlign val="superscript"/>
        <sz val="11"/>
        <color indexed="8"/>
        <rFont val="Tahoma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</si>
  <si>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1"/>
        <color indexed="8"/>
        <rFont val="Tahoma"/>
        <family val="2"/>
      </rPr>
      <t>2</t>
    </r>
    <r>
      <rPr>
        <sz val="11"/>
        <color theme="1"/>
        <rFont val="Calibri"/>
        <family val="2"/>
        <scheme val="minor"/>
      </rPr>
      <t/>
    </r>
  </si>
  <si>
    <t>15. TRIBUN</t>
  </si>
  <si>
    <t>XVI.</t>
  </si>
  <si>
    <t>Urugan pasir Urug bawah pondasi</t>
  </si>
  <si>
    <t>Pasangan  pondasi batu belah 1 pc : 4 psr</t>
  </si>
  <si>
    <t>Urugan sirtu dipadatkan</t>
  </si>
  <si>
    <t>Plat lantai tribun t 8 cm ( beton K-200,besi Wiremesh M-6, begesting )</t>
  </si>
  <si>
    <t>Plat lantai tangga t 5 cm ( beton K-200,besi Wiremesh M-6, begesting )</t>
  </si>
  <si>
    <t>Acian beton muka depan lantai</t>
  </si>
  <si>
    <t>Acian plester</t>
  </si>
  <si>
    <t>Plesteran lantai tebal 3 cm, 1 pc : 3 psr + kawat ayakan</t>
  </si>
  <si>
    <t>Finish Lantai</t>
  </si>
  <si>
    <t>Floor Hardenner</t>
  </si>
  <si>
    <t>Alur 3 x 10 cm + acian halus</t>
  </si>
  <si>
    <t xml:space="preserve">Paving Hollan warna K-300 Uk. 10,5 x 21 x 6 cm </t>
  </si>
  <si>
    <t>Kansteen K-300 Uk. 10 x 20 x 50 cm sambungan siar dalam</t>
  </si>
  <si>
    <t>SALURAN TYPE 1</t>
  </si>
  <si>
    <t>Skoor beton 15 x 20 cm ( beton K-200,besi, begesting )</t>
  </si>
  <si>
    <t>Plat lantai beton tebal 8 cm ( beton K-200,besi Wiremesh M-6/15 )</t>
  </si>
  <si>
    <t>Plat Decker beton tebal 12 cm &amp; 20 cm ( beton K-200,besi, begesting )</t>
  </si>
  <si>
    <t>Buang tanah bekas galian di lokasi Sekitar dan dileveling/ratakan</t>
  </si>
  <si>
    <t xml:space="preserve">SALURAN TYPE 2 </t>
  </si>
  <si>
    <t xml:space="preserve">11. PELATARAN </t>
  </si>
  <si>
    <r>
      <t>M</t>
    </r>
    <r>
      <rPr>
        <vertAlign val="superscript"/>
        <sz val="11"/>
        <color indexed="8"/>
        <rFont val="Tahoma"/>
        <family val="2"/>
      </rPr>
      <t>3</t>
    </r>
    <r>
      <rPr>
        <sz val="11"/>
        <color theme="1"/>
        <rFont val="Calibri"/>
        <family val="2"/>
        <scheme val="minor"/>
      </rPr>
      <t/>
    </r>
  </si>
  <si>
    <t>Finish lantai beton aci tekstur titik</t>
  </si>
  <si>
    <t>Nat lantai 10 x 1 cm lantai beton finish aci</t>
  </si>
  <si>
    <t>Lantai batu lempeng finish coating</t>
  </si>
  <si>
    <t>Lantai batu sikat finsh coating</t>
  </si>
  <si>
    <t>Paving Holland warna  K-300 t=6 cm</t>
  </si>
  <si>
    <t>Paving Hexagonal warna  K-300 t=6 cm</t>
  </si>
  <si>
    <t xml:space="preserve">Finish lantai beton trap tangga aci tekstur </t>
  </si>
  <si>
    <t>Finish tepi beton  aci halus</t>
  </si>
  <si>
    <t>Plat lantai beton t 8 cm ( beton K-200,besi, begesting )</t>
  </si>
  <si>
    <t>Plat lantai trap beton t 5 cm ( beton K-200,besi, begesting )</t>
  </si>
  <si>
    <t>XIX.</t>
  </si>
  <si>
    <t>06. SIGNAGE</t>
  </si>
  <si>
    <t>VII.</t>
  </si>
  <si>
    <t xml:space="preserve">Pas batu belah 1 pc : 4 psr </t>
  </si>
  <si>
    <t>Sloof  15 x 25 cm S1 ( beton K-200,besi, begesting ) + besi stek dan angkur</t>
  </si>
  <si>
    <t>Finish lantai aci halus</t>
  </si>
  <si>
    <t>SIGNAGE TYPE 1</t>
  </si>
  <si>
    <t>Sloof  25 x 25 cm S2 ( beton K-200,besi, begesting ) + besi stek dan angkur</t>
  </si>
  <si>
    <t>Tanah subur ( tanah bandungan ) tebal 10 cm</t>
  </si>
  <si>
    <t>Bunga Lavender Lokal 20 cm - 30 cm ( jarak tanam per polibag 25 cm )</t>
  </si>
  <si>
    <t>Gebalan rumput gajah mini</t>
  </si>
  <si>
    <t>Lapis batu andesit susun sirih + finish coating</t>
  </si>
  <si>
    <t>VIII.</t>
  </si>
  <si>
    <t>07. TRAP TANGGA</t>
  </si>
  <si>
    <t>Plat lantai beton tebal 5 cm ( beton K-200,besi Wiremesh M-6/15 )</t>
  </si>
  <si>
    <t>Finish lantai aci tekstur</t>
  </si>
  <si>
    <t>Railling besi hollow + finish cat duco</t>
  </si>
  <si>
    <t>VI.</t>
  </si>
  <si>
    <t>V.</t>
  </si>
  <si>
    <t>04. PELANDAIAN DAN TALUD</t>
  </si>
  <si>
    <t>GROUP 1</t>
  </si>
  <si>
    <t>Cut tanah</t>
  </si>
  <si>
    <t>GROUP 2</t>
  </si>
  <si>
    <t>GROUP 3</t>
  </si>
  <si>
    <t>GROUP 4</t>
  </si>
  <si>
    <t>JOGGING TRACK GROUP 1</t>
  </si>
  <si>
    <t xml:space="preserve">Urugan sirtu bawah paving  t=10 cm dipadatkan + compaction std. Proctor  90 % </t>
  </si>
  <si>
    <t>PORT</t>
  </si>
  <si>
    <t>PELEBARAN LINTASAN</t>
  </si>
  <si>
    <t>Acian Halus</t>
  </si>
  <si>
    <t>JOGGING TRACK</t>
  </si>
  <si>
    <t>08. PEKERJAAN JOGGING TRACK/PEDESTRIAN</t>
  </si>
  <si>
    <t>JOGGING TRACK GROUP 2</t>
  </si>
  <si>
    <t>JOGGING TRACK GROUP 3</t>
  </si>
  <si>
    <t>PEDESTRIAN</t>
  </si>
  <si>
    <t>JOGGING TRACK GROUP 4</t>
  </si>
  <si>
    <t>Pohon Ketapang Kencana Uk. Tinggi batang min 2 m  + ( galian, pupuk, anjang2 )</t>
  </si>
  <si>
    <t>Pohon Kiara payung Uk. Tinggi batang min 1,5 m  + ( galian, pupuk, anjang2 )</t>
  </si>
  <si>
    <t>Pohon Tabebuya kuning Uk. Tinggi batang min 2 m  + ( galian, pupuk, anjang2 )</t>
  </si>
  <si>
    <t>TRIBUN TYPE 1</t>
  </si>
  <si>
    <t>17. TANAM POHON</t>
  </si>
  <si>
    <t>XVIII.</t>
  </si>
  <si>
    <t>20. GATE</t>
  </si>
  <si>
    <t>XXI.</t>
  </si>
  <si>
    <t xml:space="preserve">Footplat  100 x 160 cm  ( beton K-200,besi, begesting ) </t>
  </si>
  <si>
    <t xml:space="preserve">Sloof  20 x 20 cm ( beton K-200,besi, begesting ) + besi stek </t>
  </si>
  <si>
    <t>Kolom  20 x 40 cm ( beton K-200,besi, begesting ) + besi stek</t>
  </si>
  <si>
    <t>Balok   20 x 20 cm  ( beton K-200,besi, begesting ) + besi stek</t>
  </si>
  <si>
    <t>Lapis batu andesit 20x40 cm + finish coating</t>
  </si>
  <si>
    <t>Scim coat beton</t>
  </si>
  <si>
    <t xml:space="preserve">Tanah subur ( tanah bandungan ) </t>
  </si>
  <si>
    <t>Cat eksterior</t>
  </si>
  <si>
    <t xml:space="preserve">Pas bata merah 1/2 bata camp 1 pc : 4 psr </t>
  </si>
  <si>
    <t xml:space="preserve">Plesteran  1 Pc : 4 Pp  Tebal 15 mm </t>
  </si>
  <si>
    <t>Bunga Soka merah rata2 tinggi 20 cm - 35 cm ( jarak tanam per polibag 25 cm )</t>
  </si>
  <si>
    <t>XX.</t>
  </si>
  <si>
    <t>Balok 15 x 20 cm  ( beton K-200,besi, begesting ) + besi stek</t>
  </si>
  <si>
    <t>Perapihan sudut</t>
  </si>
  <si>
    <t>SALURAN</t>
  </si>
  <si>
    <t>TROTOAR</t>
  </si>
  <si>
    <t>LINTASAN 1</t>
  </si>
  <si>
    <t>LINTASAN 2</t>
  </si>
  <si>
    <t>01. PEKERJAAN PEMBERSIHAN LAHAN DAN PENJARANGAN POHON</t>
  </si>
  <si>
    <t>Pembersihan lahan ( Semak, perdu pohon pisang, bambu dll ) Buang diluar Undip</t>
  </si>
  <si>
    <t>XVII.</t>
  </si>
  <si>
    <t>16. TAMAN</t>
  </si>
  <si>
    <t>TAMAN POHON LANGKA</t>
  </si>
  <si>
    <t>RENCANA ANGGARAN DAN BIAYA</t>
  </si>
  <si>
    <t xml:space="preserve">R E K A P I T U L A S I </t>
  </si>
  <si>
    <r>
      <t xml:space="preserve">Penjarangan pohon min </t>
    </r>
    <r>
      <rPr>
        <sz val="11"/>
        <rFont val="Calibri"/>
        <family val="2"/>
      </rPr>
      <t>Ø</t>
    </r>
    <r>
      <rPr>
        <sz val="11"/>
        <rFont val="Tahoma"/>
        <family val="2"/>
      </rPr>
      <t xml:space="preserve"> 25 cm (Ranting,akar buang diluar Undip) Batang simpan di Undip</t>
    </r>
  </si>
  <si>
    <t>PELANDAIAN LAHAN</t>
  </si>
  <si>
    <t>FootPlat &amp; kolom pedestal K-200 ( beton,besi, begesting )</t>
  </si>
  <si>
    <t>Plat seet ( beton K-200,besi, begesting )</t>
  </si>
  <si>
    <t>Kursi beton ( Beton K-200,Besi, Bekesting ) + Finish aci halus</t>
  </si>
  <si>
    <t>Meja beton ( Beton K-200,Besi, Bekesting ) + Finish aci halus</t>
  </si>
  <si>
    <t xml:space="preserve">Lapis kolom </t>
  </si>
  <si>
    <t>Kursi beton + finish aci type 1</t>
  </si>
  <si>
    <t>Kursi beton + finish aci type 2</t>
  </si>
  <si>
    <t>Fill/Urugan tanah peninggian peil dengan tanah bekas galian dilokasi pekerjaan</t>
  </si>
  <si>
    <t xml:space="preserve">Buang tanah di lokasi Sekitar pekerjaan ditata dan dipadatkan </t>
  </si>
  <si>
    <t>Urugan tanah peninggian peil dengan tanah bekas galian dilokasi pekerjaan</t>
  </si>
  <si>
    <t xml:space="preserve">Urugan sirtu bawah paving  t=15 cm dipadatkan + compaction std. Proctor  90 % </t>
  </si>
  <si>
    <t xml:space="preserve">Pemadatan tanah </t>
  </si>
  <si>
    <t>Rangka pipa hitam 3" tebal 5,5 mm + finish cat duco</t>
  </si>
  <si>
    <t>Rangka pipa hitam 2,5" tebal 5,2 mm + Finish cat duco</t>
  </si>
  <si>
    <t>Rangka pipa hitam 2" tebal 3,9 mm + Finish cat duco</t>
  </si>
  <si>
    <t xml:space="preserve">Rangka pipa galvanis 1" tebal 3,75 mm  + finish cat duco </t>
  </si>
  <si>
    <t>Rencana Kesehatan Keselamatan Kerja Kontrak</t>
  </si>
  <si>
    <t xml:space="preserve">: PEMBANGUNAN JTU TAHAP 2 ( RUAS LAB TERPADU - JEMBATAN SIKATAK ) </t>
  </si>
  <si>
    <t xml:space="preserve">  UNIVERSITAS DIPONEGORO</t>
  </si>
  <si>
    <t>TALUD TYPE 3</t>
  </si>
  <si>
    <t>21. TROTOAR DAN SALURAN JALAN</t>
  </si>
  <si>
    <t>XXII.</t>
  </si>
  <si>
    <r>
      <t xml:space="preserve">Fill/Urugan tanah peninggian peil dengan mendatangkan tanah dari Undip jarak </t>
    </r>
    <r>
      <rPr>
        <sz val="11"/>
        <rFont val="Calibri"/>
        <family val="2"/>
      </rPr>
      <t>±</t>
    </r>
    <r>
      <rPr>
        <sz val="11"/>
        <rFont val="Tahoma"/>
        <family val="2"/>
      </rPr>
      <t xml:space="preserve"> 5 km</t>
    </r>
  </si>
  <si>
    <t xml:space="preserve">Uraian </t>
  </si>
  <si>
    <t>A</t>
  </si>
  <si>
    <t>B</t>
  </si>
  <si>
    <t>C</t>
  </si>
  <si>
    <t>03. SALURAN + TALUD</t>
  </si>
  <si>
    <t>05. TALUD AREA LINTASAN JALAN</t>
  </si>
  <si>
    <t>PELATARAN TYPE 1</t>
  </si>
  <si>
    <t>PELATARAN TYPE 2</t>
  </si>
  <si>
    <t>Plat lantai beton t 8 cm ( beton K-200,besi Wiremessh M-6/15 cm, begesting )</t>
  </si>
  <si>
    <t>Plat lantai trap beton t 5 cm ( beton K-200,besi Wiremessh M-6/15 cm, begesting )</t>
  </si>
  <si>
    <t>Plesteran 1 Pc : 3 Pp  Tebal 30 mm + chikenmesh 1 mm/1cm</t>
  </si>
  <si>
    <t xml:space="preserve">Finish lantai aci tekstur </t>
  </si>
  <si>
    <t>Finish lantai floor hardener</t>
  </si>
  <si>
    <t>Nat/alur lantai 10 x 3 cm lantai beton finish aci</t>
  </si>
  <si>
    <t>PELATARAN TYPE 3</t>
  </si>
  <si>
    <t>Plesteran lantai 1 Pc : 3 Pp  Tebal 30 mm + chikenmesh 1 mm/1cm</t>
  </si>
  <si>
    <r>
      <t xml:space="preserve">Penjarangan pohon min </t>
    </r>
    <r>
      <rPr>
        <sz val="11"/>
        <rFont val="Calibri"/>
        <family val="2"/>
      </rPr>
      <t>Ø</t>
    </r>
    <r>
      <rPr>
        <sz val="11"/>
        <rFont val="Tahoma"/>
        <family val="2"/>
      </rPr>
      <t xml:space="preserve"> 25 cm (Ranting,akar buang diluar Undip) Batang   simpan di Undip</t>
    </r>
  </si>
  <si>
    <t>I.</t>
  </si>
  <si>
    <t>XII.</t>
  </si>
  <si>
    <t>XIII.</t>
  </si>
  <si>
    <t>XIV.</t>
  </si>
  <si>
    <t>XV.</t>
  </si>
  <si>
    <t>XXIII.</t>
  </si>
  <si>
    <t>22. TOILET, PLAZA FOOD CONTAINER</t>
  </si>
  <si>
    <t>Abudmen ( beton K-250,besi, begesting )</t>
  </si>
  <si>
    <t>Plat lantai beton tebal 8 cm ( beton K-200,bekesting,besi Wiremesh M-6/15 )</t>
  </si>
  <si>
    <t>( Pekerjaan Baja dan Pipa sudah termasuk finishing Cat Duco)</t>
  </si>
  <si>
    <t>Tiang Baja H 250 x 250 x 9 x 14</t>
  </si>
  <si>
    <t>Baja IWF 150.75.5,7</t>
  </si>
  <si>
    <r>
      <t xml:space="preserve">Wire rope /seling kawat baja galvanis </t>
    </r>
    <r>
      <rPr>
        <sz val="11"/>
        <rFont val="Calibri"/>
        <family val="2"/>
      </rPr>
      <t>Ø</t>
    </r>
    <r>
      <rPr>
        <sz val="11"/>
        <rFont val="Tahoma"/>
        <family val="2"/>
      </rPr>
      <t xml:space="preserve"> 32 mm 6x36 + IWRC full baja</t>
    </r>
  </si>
  <si>
    <t>Klem seling baja galvanis</t>
  </si>
  <si>
    <t>Roller + dudukan</t>
  </si>
  <si>
    <r>
      <t xml:space="preserve">Spander baja </t>
    </r>
    <r>
      <rPr>
        <sz val="11"/>
        <rFont val="Calibri"/>
        <family val="2"/>
      </rPr>
      <t>Ø</t>
    </r>
    <r>
      <rPr>
        <sz val="11"/>
        <rFont val="Tahoma"/>
        <family val="2"/>
      </rPr>
      <t xml:space="preserve"> 22 + finish cat duco </t>
    </r>
  </si>
  <si>
    <t xml:space="preserve">Joint  Spander atas + finish cat duco </t>
  </si>
  <si>
    <t xml:space="preserve">Joint  Spander bawah + finish cat duco </t>
  </si>
  <si>
    <t>Kansteen Jalan K-300, Uk.15/20 x 30 x 50 STD dengan spesi &amp; sambungan siar dalam</t>
  </si>
  <si>
    <t>Guiding Block/ubin difable Uk. 33 x 33 tebal 5 cm</t>
  </si>
  <si>
    <t>FootPlat 70 x 70 cm ( beton K-200,besi, begesting )</t>
  </si>
  <si>
    <t>Kolom 20 x 20 cm ( beton K-200,besi, begesting ) + stek</t>
  </si>
  <si>
    <t>Sloof 15 x 20 cm ( beton K-200,besi, begesting ) + stek</t>
  </si>
  <si>
    <t>Balok 15 x 30 cm ( beton K-200,besi, begesting ) + stek</t>
  </si>
  <si>
    <t>Kansteen Jalan K-300, Uk.15/20 x 30 x 50 LD dengan spesi &amp; sambungan siar dalam</t>
  </si>
  <si>
    <t>Pipa PVC 4" Type AW + bobok U-Dith</t>
  </si>
  <si>
    <t>Saluran  U Ditch 50x50 cm, T min 6,5 cm Precast min  K 350 + galian + pasir urug + sambungan</t>
  </si>
  <si>
    <t>Plester Ban - banan penebalan kolom</t>
  </si>
  <si>
    <t>Cat Wash motif kayu</t>
  </si>
  <si>
    <t>Plat landas,buhul,Pengaku, angkur mur baut dan ascesories lainnya</t>
  </si>
  <si>
    <t>Bubungan genteng keramik + cat</t>
  </si>
  <si>
    <t>Reuter metal</t>
  </si>
  <si>
    <t>Grouting dudukan kuda - kuda</t>
  </si>
  <si>
    <t>Kuda kuda IWF 125.60.6,8</t>
  </si>
  <si>
    <t>Gording Hollow black steel  5 x 10 cm, tebal 2 mm</t>
  </si>
  <si>
    <t>Usuk/Kasau Hollow black steel  4 x 6 cm, tebal 2 mm</t>
  </si>
  <si>
    <t>Reng Hollow black steel  3 x 3 cm, tebal 2 mm</t>
  </si>
  <si>
    <t>Penutup genteng Keramik/Glazur</t>
  </si>
  <si>
    <t>Bubungan genteng keramik 4 arah</t>
  </si>
  <si>
    <t>Lisplank GRC motif serat kayu sudah finishing warna kayu Uk. L 20 cm,t 8 mm</t>
  </si>
  <si>
    <t>( Pekerjaan Baja dan Hollow sudah termasuk finishing cat duco )</t>
  </si>
  <si>
    <t xml:space="preserve">Sloof  20 x 25 cm ( beton K-200,besi, begesting ) + besi stek </t>
  </si>
  <si>
    <t>Kolom  30 x 30 cm ( beton K-200,besi, begesting ) + besi stek</t>
  </si>
  <si>
    <t>Balok B 20 x 25 cm  ( beton K-200,besi, begesting ) + besi stek</t>
  </si>
  <si>
    <t xml:space="preserve">Footplat  50 x 230 cm  ( beton K-200,besi, begesting ) </t>
  </si>
  <si>
    <t>Dinding beton tebal 15 cm ( beton K-200,besi, begesting ) + besi stek</t>
  </si>
  <si>
    <t xml:space="preserve"> - Handrail pipa stainless steel Ø 2,5" tebal 1,3 mm</t>
  </si>
  <si>
    <t xml:space="preserve"> - Rangka/pengisi pipa stainless steel Ø 1,5" tebal 1,3 mm</t>
  </si>
  <si>
    <t xml:space="preserve"> - Tiang pipa stainless steel Ø 2,5" tebal 1,3 mm</t>
  </si>
  <si>
    <t xml:space="preserve"> Railling /pagar  :</t>
  </si>
  <si>
    <t>Nat/alur lantai 2 x 1 cm lantai finish aci</t>
  </si>
  <si>
    <t>Keramik /granit lantai 15 x 90 motif kayu</t>
  </si>
  <si>
    <t>Plat lantai beton tebal 10 cm  ( beton K-200,besi, begesting ) + besi stek</t>
  </si>
  <si>
    <t>Plesteran  isian bronjong 1 Pc : 4 Pp  Tebal 5 cm</t>
  </si>
  <si>
    <t xml:space="preserve">Perapihan beton dengan acian </t>
  </si>
  <si>
    <t>Penutup atap spandek berpasir tebal 0,4 mm</t>
  </si>
  <si>
    <t>TOILET LANTAI 1, PUTRA PUTRI</t>
  </si>
  <si>
    <t>Galian tanah Footplat</t>
  </si>
  <si>
    <t>Urugan tanah kembali bekas galian dipadatkan</t>
  </si>
  <si>
    <t xml:space="preserve">Urugan pasir </t>
  </si>
  <si>
    <t>Bawah Footplat</t>
  </si>
  <si>
    <t>Bawah lantai</t>
  </si>
  <si>
    <t>Plester sudut/tali air</t>
  </si>
  <si>
    <t>Perapihan balok beton dengan semen instan</t>
  </si>
  <si>
    <t>Keramik dinding 30x50 cm KD</t>
  </si>
  <si>
    <t>Keramik dinding 30x50 cm motif KDM</t>
  </si>
  <si>
    <t>Step nosing granit tile 10 x 60 cm SN</t>
  </si>
  <si>
    <t>Closet duduk ( CD )</t>
  </si>
  <si>
    <t>Closet Jongkok ( CJ )</t>
  </si>
  <si>
    <t>Wastavel + kran ( WS )</t>
  </si>
  <si>
    <t>Kran air ( KA )</t>
  </si>
  <si>
    <t>Jet Shower  ( JS )</t>
  </si>
  <si>
    <t>Floor Drain ( FD )</t>
  </si>
  <si>
    <t>Soap Holder ( SH )</t>
  </si>
  <si>
    <t>Doble Robe Hook ( DRH )</t>
  </si>
  <si>
    <t xml:space="preserve">Kaca cermin 5 mm ( 60X80 ) cm + bavel </t>
  </si>
  <si>
    <t>Meja beton wastafel + finish HT</t>
  </si>
  <si>
    <t>Saluran U 20 cm ( U 20+Galian+pasir urug+pas bata+plester+acian )</t>
  </si>
  <si>
    <t>Pematangan lahan/penataan lahan membentuk kontur</t>
  </si>
  <si>
    <t xml:space="preserve">Footplat  P80, 80 x 80 cm  ( beton K-250,besi, begesting ) </t>
  </si>
  <si>
    <t xml:space="preserve">Footplat  P100, 100 x 100 cm  ( beton K-250,besi, begesting ) </t>
  </si>
  <si>
    <t>Sloof S1, 20 x 30 cm  ( beton K-250,besi, begesting ) + besi stek</t>
  </si>
  <si>
    <t>Sloof S2, 15 x 30 cm  ( beton K-250,besi, begesting ) + besi stek</t>
  </si>
  <si>
    <t>Kolom K1, 30 x 30 cm  ( beton K-250,besi, begesting ) + besi stek</t>
  </si>
  <si>
    <t>Kolom K2, 30 x 30 cm  ( beton K-250,besi, begesting ) + besi stek</t>
  </si>
  <si>
    <t>Balok B1, 20 x 30 cm  ( beton K-250,besi, begesting ) + besi stek</t>
  </si>
  <si>
    <t>Balok B2, 20 x 40 cm  ( beton K-250,besi, begesting ) + besi stek</t>
  </si>
  <si>
    <t>Balok B3, 20 x 40 cm  ( beton K-250,besi, begesting ) + besi stek</t>
  </si>
  <si>
    <t>Balok B4, 20 x 40 cm  ( beton K-250,besi, begesting ) + besi stek</t>
  </si>
  <si>
    <t>Balok B5, 15 x 40 cm  ( beton K-250,besi, begesting ) + besi stek</t>
  </si>
  <si>
    <t>Plat tebal 12 cm  ( beton K-250,besi, begesting ) + besi stek</t>
  </si>
  <si>
    <t>Balok Bordes, 15 x 30 cm  ( beton K-250,besi, begesting ) + besi stek</t>
  </si>
  <si>
    <t>Tangga  ( beton K-250,besi, begesting ) + besi stek</t>
  </si>
  <si>
    <t>Dinding beton tebal 15 cm  ( beton K-250,besi, begesting ) + besi stek</t>
  </si>
  <si>
    <t>Pas bata merah camp spesi 1 PC : 4 Psr  + angkur</t>
  </si>
  <si>
    <t xml:space="preserve">Galian tanah sloof </t>
  </si>
  <si>
    <t xml:space="preserve">Bawah sloof </t>
  </si>
  <si>
    <t>Plat lantai t 8 cm ( beton K-250,besi Wiremesh M-6, begesting )</t>
  </si>
  <si>
    <t>Urugan sirtu tebal 10 cm dipadatkan</t>
  </si>
  <si>
    <t>Plester t=15 mm camp spesi 1 PC : 4 Psr</t>
  </si>
  <si>
    <t>Plester t=50 mm camp spesi 1 PC : 4 Psr ( penebalan dinding beton )</t>
  </si>
  <si>
    <t>Kolom 10 x 10 cm ( KP1 ) + besi stek</t>
  </si>
  <si>
    <t>Kolom 10 x 10 cm ( KP2 ) + besi stek</t>
  </si>
  <si>
    <t>Balok 10 x 15 cm ( BP ) + besi stek</t>
  </si>
  <si>
    <t>Perapihan kolom beton, dinding beton dan tangga dengan acian</t>
  </si>
  <si>
    <t>Perapihan plat dak beton dengan semen instan</t>
  </si>
  <si>
    <t>Keramik Tile 30x30 cm, rustic  K1</t>
  </si>
  <si>
    <t>Keramik Tile 30x30 cm, rustic (Tangga)</t>
  </si>
  <si>
    <t>Finish lantai floor hardenner tekstur</t>
  </si>
  <si>
    <t>Pintu toilet UPVC komplit assesories</t>
  </si>
  <si>
    <t>Sanitair Komplit Terpasang + assesories</t>
  </si>
  <si>
    <t>Roofdrain besi cor 4"</t>
  </si>
  <si>
    <t>Pipa turun PVC 3" type medium + sambungan dan klem</t>
  </si>
  <si>
    <t>Bak Kontrol ( Galian+ pasir urug+pas bata+plester+acian )</t>
  </si>
  <si>
    <t>Cat dak beton/plafond dengan cat interior</t>
  </si>
  <si>
    <t>Pipa pembuangan  PVC 6" type AW + sambungan dan galian urugan</t>
  </si>
  <si>
    <t xml:space="preserve"> - Tiang  pipa stainless steel Ø 2,5" tebal 1,3 mm</t>
  </si>
  <si>
    <t xml:space="preserve"> - Rangka pipa stainless steel Ø 1,5" tebal 1,1 mm</t>
  </si>
  <si>
    <t xml:space="preserve"> Railling Tangga komplit assesories :</t>
  </si>
  <si>
    <t xml:space="preserve"> Railling komplit assesories  :</t>
  </si>
  <si>
    <t>Beton tanggulan 10 x 10  cm  ( beton K-250,besi, begesting ) + besi stek</t>
  </si>
  <si>
    <t>TOILET LANTAI ATAP</t>
  </si>
  <si>
    <t>TALUD PLAZA</t>
  </si>
  <si>
    <t>PAVING, TAMAN DAN URUGAN TANAH</t>
  </si>
  <si>
    <t xml:space="preserve">Paving Hollan abu-abu K-300 Uk. 10,5 x 21 x 6 cm </t>
  </si>
  <si>
    <t>Kansteen beton K-300, Uk.10/12,5 x 30 x 50 cm STD</t>
  </si>
  <si>
    <t>PLAT DECKER</t>
  </si>
  <si>
    <t>Fill/Urugan tanah peninggian peil dengan mendatangkan tanah dari Undip jarak ± 5 km</t>
  </si>
  <si>
    <t xml:space="preserve">Pas dinding rosster/terawang 30 x 30 cm, camp spesi 1 PC : 4 Psr  </t>
  </si>
  <si>
    <t>Plat Decker beton tebal 20 cm ( beton K-250,besi, begesting )</t>
  </si>
  <si>
    <t>TAMAN BUNGA 1</t>
  </si>
  <si>
    <t>TAMAN BUNGA 2</t>
  </si>
  <si>
    <t>TAMAN BUNGA 3</t>
  </si>
  <si>
    <t>Septik tank/ STP tangki fiberglass kapasitas 5000 liter/5m3 komplit panel,pompa dan instalasi + struktur dudukan + Resapan</t>
  </si>
  <si>
    <t>: UNIVERSITAS DIPONEGORO</t>
  </si>
  <si>
    <t>PEKERJAAN MEKANIKAL DAN ELKETRIKAL</t>
  </si>
  <si>
    <t>Fill/Urugan tanah peninggian peil dengan tanah padas</t>
  </si>
  <si>
    <t>Kansteen/Kerb Channel beton K-300, Uk.10/15 x 25 x 50 cm STD dengan spesi 5 cm</t>
  </si>
  <si>
    <t>Kansteen/Kerb Channel beton K-300, Uk.10/15 x 25 x 50 cm LD dengan spesi 5 cm</t>
  </si>
  <si>
    <t xml:space="preserve">19. RIVERSIDE ( 2 UNIT ) </t>
  </si>
  <si>
    <t xml:space="preserve">18. PONDASI HIGH MAST ( 3 UNIT ) </t>
  </si>
  <si>
    <t xml:space="preserve">09. SITTING GROUP ( 5 UNIT ) </t>
  </si>
  <si>
    <t>PEKERJAAN PLUMBING</t>
  </si>
  <si>
    <t>Uraian</t>
  </si>
  <si>
    <t>Volume</t>
  </si>
  <si>
    <t>Harga Satuan (Rp)</t>
  </si>
  <si>
    <t>Harga Total (Rp)</t>
  </si>
  <si>
    <t>I</t>
  </si>
  <si>
    <t>Pekerjaan Instalasi Air Bersih</t>
  </si>
  <si>
    <t>Area Toilet</t>
  </si>
  <si>
    <t>Gwt kapasitas 4 m3</t>
  </si>
  <si>
    <t>BY CIVIL</t>
  </si>
  <si>
    <t>Pomp dorong Air bersih lengkap dengan valve-valve, wlc, dan accessories :</t>
  </si>
  <si>
    <t>- Kapasitas : 33 liter / menit</t>
  </si>
  <si>
    <t>- Daya hisap : 9 m</t>
  </si>
  <si>
    <t>- Daya dorong : 24 m</t>
  </si>
  <si>
    <t>- Power : 1 ph / 50 hz / 220 V</t>
  </si>
  <si>
    <t>- Otomatis</t>
  </si>
  <si>
    <t>Pipa dari gwt ke rooftank :</t>
  </si>
  <si>
    <t>Pipa PPR PN 10   Ø 1"</t>
  </si>
  <si>
    <t>mt</t>
  </si>
  <si>
    <t>Straight / gate valve Ø 1 1/2"</t>
  </si>
  <si>
    <t>Straight / gate valve Ø 1"</t>
  </si>
  <si>
    <t>Straight / gate valve Ø 3/4"</t>
  </si>
  <si>
    <t>Check valve Ø 1 1/2"</t>
  </si>
  <si>
    <t>Foot valve Ø 1"</t>
  </si>
  <si>
    <t xml:space="preserve">Rooftank kapasitas 2 m3, berikut pondasi roodtank dari besi siku setinggi 2 m </t>
  </si>
  <si>
    <t>Jet pump otomatis kapasitas 33 l/m head 24 m 1ph, 220V</t>
  </si>
  <si>
    <t>Instalasi area toilet</t>
  </si>
  <si>
    <t>- Pipa PPR PN 10   Ø 1 1/2"</t>
  </si>
  <si>
    <t>- Pipa PPR PN 10   Ø 3/4"</t>
  </si>
  <si>
    <t>- Pipa PPR PN 10   Ø 1/2"</t>
  </si>
  <si>
    <t>- Straight / gate valve   Ø 1 1/2"</t>
  </si>
  <si>
    <t>PEKERJAAN SUMUR DANGKAL</t>
  </si>
  <si>
    <t>Pekerjaan Sumur Dangkal kedalaman minimal 30 m,kapasitas min 4m3/jam hingga sistem dapat bekerja dgn baik, termasuk casing, pompa submersible , dilengkapi panel. Pemasangan perangkat utama lengkap dengan peralatan lain yang diperlukan. lengkap dengan :</t>
  </si>
  <si>
    <t>titik</t>
  </si>
  <si>
    <t>- Biaya Pengeboran sumur</t>
  </si>
  <si>
    <t>- Biaya Perijinan SIPA</t>
  </si>
  <si>
    <t>- Pipa-pipa suction dan discharge</t>
  </si>
  <si>
    <t>- Pipa-pipa instalasi dari pompa ke gwt</t>
  </si>
  <si>
    <t>- Kabel-kabel untuk pompa dan level control</t>
  </si>
  <si>
    <t>- Pressure Gauge</t>
  </si>
  <si>
    <t>- Air Vent Valve</t>
  </si>
  <si>
    <t>- Water Meter</t>
  </si>
  <si>
    <t>- Gate Valve</t>
  </si>
  <si>
    <t>- Submersible Pump</t>
  </si>
  <si>
    <t>- Panel Kontrol + Kabel dan Kabel Power ke panel power</t>
  </si>
  <si>
    <t>- Kualitas air layak pakai dibuktikan dengan hasil laboratorium</t>
  </si>
  <si>
    <t>Siram taman siteplan</t>
  </si>
  <si>
    <t>Ruang Pompa 1</t>
  </si>
  <si>
    <t>Rumah pompa</t>
  </si>
  <si>
    <t>BY CIVIL/ARSITEK</t>
  </si>
  <si>
    <t xml:space="preserve">Reservoir 1 2 M3 </t>
  </si>
  <si>
    <t>Pompa hisap 1 hp :</t>
  </si>
  <si>
    <t>- Kapasitas : 38 liter / menit</t>
  </si>
  <si>
    <t>- Daya hisap max : 30 m</t>
  </si>
  <si>
    <t>- Toal head max : 60 m</t>
  </si>
  <si>
    <t xml:space="preserve">Pompa Distribusi 1 hp </t>
  </si>
  <si>
    <t xml:space="preserve">Radar ( Water level control ) </t>
  </si>
  <si>
    <t>Pelampung/Floating valve Ø 3/4"</t>
  </si>
  <si>
    <t>Ruang Pompa 2</t>
  </si>
  <si>
    <t>BY SIPIL/ARSITEK</t>
  </si>
  <si>
    <t>Instalasi siram taman</t>
  </si>
  <si>
    <t>- Pipa PPR PN 10   Ø 1"</t>
  </si>
  <si>
    <t>- Pipa PPR PN 10   Ø 3/4" (dari rooftank ke reservoir 1)</t>
  </si>
  <si>
    <t>- Pipa PPR PN 10   Ø 3/4" (dari rooftank ke reservoir 2)</t>
  </si>
  <si>
    <t>- Kran Taman Ø 1/2"</t>
  </si>
  <si>
    <t>Pekerjaan Instalasi Air Kotor &amp; Bekas</t>
  </si>
  <si>
    <t>Pipa air kotor &amp; bekas :</t>
  </si>
  <si>
    <t>Pipa PVC Class AW - 10 K   Ø 6"</t>
  </si>
  <si>
    <t>Pipa PVC Class AW - 10 K   Ø 4"</t>
  </si>
  <si>
    <t>Pipa PVC Class AW - 10 K   Ø 3"</t>
  </si>
  <si>
    <t>Pipa PVC Class AW - 10 K   Ø 2"</t>
  </si>
  <si>
    <t>Pipa vent :</t>
  </si>
  <si>
    <t>Pipa PVC type D   Ø 2"</t>
  </si>
  <si>
    <t>Pipa PVC type D   Ø 1 1/2"</t>
  </si>
  <si>
    <t>Pipa PVC type D   Ø 1 1/4"</t>
  </si>
  <si>
    <t>Septictank biofilter kapasitas 1.5 m3, berikut pondasi dan accessories lainnya</t>
  </si>
  <si>
    <t>Total Plumbing</t>
  </si>
  <si>
    <t>RENCANA ANGGARAN BIAYA</t>
  </si>
  <si>
    <t>PEKERJAAN ELEKTRIKAL</t>
  </si>
  <si>
    <t>UNIVERSITAS DIPONEGORO</t>
  </si>
  <si>
    <t>Panel dan sambungan daya PLN</t>
  </si>
  <si>
    <t>Pemasangan Langganan PLN dari 41.500 VA termasuk :</t>
  </si>
  <si>
    <t>Semua Panel Instalasi di Gardu PLN,hingga Kwh Meter, dll</t>
  </si>
  <si>
    <t>Sudah termasuk jika ada tambahan instalasi jaringan TM PLN ( kabel TM, Tiang, dlsb )</t>
  </si>
  <si>
    <t xml:space="preserve">- BP (Biaya Penyambungan)  </t>
  </si>
  <si>
    <t>- UJL (Uang Jaminan Langganan)</t>
  </si>
  <si>
    <t>- Materai</t>
  </si>
  <si>
    <t>- SLO</t>
  </si>
  <si>
    <t xml:space="preserve">- SJI BTL </t>
  </si>
  <si>
    <t>- Grounding</t>
  </si>
  <si>
    <t>- Pengurusan Penyalaan, dll</t>
  </si>
  <si>
    <t>MDP-JTU</t>
  </si>
  <si>
    <t>PP- HM 1</t>
  </si>
  <si>
    <t>PP- HM 2</t>
  </si>
  <si>
    <t>PP- HM 3</t>
  </si>
  <si>
    <t>PP- HM 4</t>
  </si>
  <si>
    <t>PP- HM 5</t>
  </si>
  <si>
    <t>PP-POMPA 1</t>
  </si>
  <si>
    <t>PP-POMPA 2</t>
  </si>
  <si>
    <t>PP-SN 1</t>
  </si>
  <si>
    <t>PP-SN 2</t>
  </si>
  <si>
    <t>PP-TOILET</t>
  </si>
  <si>
    <t>Pengadaan tiang beton tinggi 11 meter</t>
  </si>
  <si>
    <t>Total Panel Utama</t>
  </si>
  <si>
    <t>Kabel Feeder &amp; Grounding</t>
  </si>
  <si>
    <t>Dari Kwh meter PLN Ke MDP-JTU NYY 5 x 25 mm² (R,S,T,N,GR)</t>
  </si>
  <si>
    <t>mtr</t>
  </si>
  <si>
    <t>Dari MDP-JTU ke PP-HM 2 NYY 5 x 6 mm² (R,S,T,N,GR)</t>
  </si>
  <si>
    <t>Dari MDP-JTU ke PP-HM 3 NYY 5 x 10 mm² (R,S,T,N,GR)</t>
  </si>
  <si>
    <t>Dari MDP-JTU ke PP-HM 4 NYY 5 x 6 mm² (R,S,T,N,GR)</t>
  </si>
  <si>
    <t>Dari MDP-JTU ke PP-TOILET NYY 5 x 6 mm² (R,S,T,N,GR)</t>
  </si>
  <si>
    <t>Dari PP-HM 1 ke PP-SN 1 NYY 3 x 4 mm² (Phase,N,GR)</t>
  </si>
  <si>
    <t>Dari PP-HM 2 ke PP-POMPA 1 NYY 5 x 6 mm² (R,S,T,N,GR)</t>
  </si>
  <si>
    <t>Dari PP-HM 3 ke PP-HM 1 NYY 5 x 6 mm² (R,S,T,N,GR)</t>
  </si>
  <si>
    <t>Dari PP-HM 3 ke PP-HM 5 NYY 5 x 6 mm² (R,S,T,N,GR)</t>
  </si>
  <si>
    <t>Dari PP-HM 4 ke PP-SN 2 NYY 3 x 4 mm² (Phase,N,GR)</t>
  </si>
  <si>
    <t>Dari PP-HM 4 ke PP-POMPA 2 NYY 5 x 6 mm² (R,S,T,N,GR)</t>
  </si>
  <si>
    <t>Dari PP-HM 1 ke Tiang high mast 1 NYY 3x(3 x 4 mm²(Phase,N,GR))</t>
  </si>
  <si>
    <t>Dari PP-HM 2 ke Tiang high mast 2 NYY 3x(3 x 4 mm²(Phase,N,GR))</t>
  </si>
  <si>
    <t>Dari PP-HM 3 ke Tiang high mast 3 NYY 3x(3 x 4 mm²(Phase,N,GR))</t>
  </si>
  <si>
    <t>Dari PP-HM 4 ke Tiang high mast 4 NYY 3x(3 x 4 mm²(Phase,N,GR))</t>
  </si>
  <si>
    <t>Dari PP-HM 5 ke Tiang high mast 5 NYY 3x(3 x 4 mm²(Phase,N,GR))</t>
  </si>
  <si>
    <t>Dari PP-HM 2 ke Gazebo 1 NYY 3 x 2.5 mm² (Phase,N,GR)</t>
  </si>
  <si>
    <t>Dari PP-HM 2 ke Gazebo 2 NYY 3 x 2.5 mm² (Phase,N,GR)</t>
  </si>
  <si>
    <t>Dari PP-HM 4 ke Gazebo 3 NYY 3 x 2.5 mm² (Phase,N,GR)</t>
  </si>
  <si>
    <t>Dari PP-HM 4 ke Gazebo 4 NYY 3 x 2.5 mm² (Phase,N,GR)</t>
  </si>
  <si>
    <t>Dari PP-HM 4 ke Gazebo 5 NYY 3 x 2.5 mm² (Phase,N,GR)</t>
  </si>
  <si>
    <t>Grounding System :</t>
  </si>
  <si>
    <t>Termasuk Bak kontrol, Sumuran Grounding, Konektor Grounding dan Material Bantu lainnya</t>
  </si>
  <si>
    <t>- Grounding MDP-JTU</t>
  </si>
  <si>
    <t>Total Kabel Feeder</t>
  </si>
  <si>
    <t>Lampu, Saklar, dan Stop Kontak</t>
  </si>
  <si>
    <t>Led Downlight outbow 18 W R200</t>
  </si>
  <si>
    <t>Led Downlight outbow 12 W R150</t>
  </si>
  <si>
    <t>Saklar Tunggal  Cap 10 A, 1 ph</t>
  </si>
  <si>
    <t>Saklar Ganda  Cap 10 A, 1 ph</t>
  </si>
  <si>
    <t>Saklar Hotel Tunggal Cap 10 A, 1 ph</t>
  </si>
  <si>
    <t>Stop Kontak Cap 16A, 1 ph</t>
  </si>
  <si>
    <t>Instalasi Lampu, kabel NYA 3 x 2,5 mm dlm Pipa Conduit Hight Impact 20 mm</t>
  </si>
  <si>
    <t>ttk</t>
  </si>
  <si>
    <t>Instalasi stop kontak, kabel NYA 3 x 2,5 mm dlm Pipa Conduit Hight Impact 20 mm</t>
  </si>
  <si>
    <t>Gazebo ( 1 s/d 5 )</t>
  </si>
  <si>
    <t>Led Outdoor Spot 9 W</t>
  </si>
  <si>
    <t>Ruang Pompa ( 1 &amp; 2 )</t>
  </si>
  <si>
    <t>Siteplan</t>
  </si>
  <si>
    <t>Lampu wall washer 24 W</t>
  </si>
  <si>
    <t>Led strip outdoor 7 W/M + driver + suport dan accessories</t>
  </si>
  <si>
    <t>Instalasi Lampu wallwasher, kabel NYY 3 x 2,5 mm dlm Pipa Conduit Hight Impact 20 mm</t>
  </si>
  <si>
    <t>Instalasi Lampu led strip, kabel NYY 3 x 2,5 mm dlm Pipa Conduit Hight Impact 20 mm</t>
  </si>
  <si>
    <t>Lampu Solar Cell led 40 W + tiang 3 m dan pondasi</t>
  </si>
  <si>
    <t>Lampu penangkal petir obstruction light</t>
  </si>
  <si>
    <t xml:space="preserve">Tiang Highmast 20 meter + angkur, baut, plat, 4bh mcb 10A 6 ka 1ph, instalasi lampu &amp; </t>
  </si>
  <si>
    <t>penangkal petir beserta  komponen kelengkapannya</t>
  </si>
  <si>
    <t>Total Lampu, Saklar &amp; Stop Kontak</t>
  </si>
  <si>
    <t>Total pekerjaan Elektrikal</t>
  </si>
  <si>
    <t>REKAP</t>
  </si>
  <si>
    <t>PEKERJAAN MEKANIKAL DAN ELEKTRIKAL</t>
  </si>
  <si>
    <t>Pekerjaan</t>
  </si>
  <si>
    <t>Biaya</t>
  </si>
  <si>
    <t>ELEKTRIKAL</t>
  </si>
  <si>
    <t>PLUMBING</t>
  </si>
  <si>
    <t xml:space="preserve">Total </t>
  </si>
  <si>
    <t>Tanah subur ( tanah bandungan ) tebal 5cm</t>
  </si>
  <si>
    <t>Bunga sambang darah</t>
  </si>
  <si>
    <t>Bunga sabrina</t>
  </si>
  <si>
    <t>Bunga puring hujan emas</t>
  </si>
  <si>
    <t>Bunga puring warthon</t>
  </si>
  <si>
    <t>Tanah subur ( tanah bandungan )</t>
  </si>
  <si>
    <t>Bunga puring kirana warna merah</t>
  </si>
  <si>
    <t>Bunga puring kooin kuning</t>
  </si>
  <si>
    <t>Bunga puring tiwuk oren asli</t>
  </si>
  <si>
    <t>Bunga soka putih jepang</t>
  </si>
  <si>
    <t>Bunga aglonima tri color</t>
  </si>
  <si>
    <t>Bunga heliconia merah</t>
  </si>
  <si>
    <t>Bunga Walisongo kuning</t>
  </si>
  <si>
    <t>Bunga calathea crimson pink</t>
  </si>
  <si>
    <t>Bunga makayana hijau</t>
  </si>
  <si>
    <t>Bunga kana kuning</t>
  </si>
  <si>
    <t>Bunga aglonema red lipstik</t>
  </si>
  <si>
    <t>Bunga calathure black lipstik</t>
  </si>
  <si>
    <t>Bunga aglonema tri colour</t>
  </si>
  <si>
    <t>Harga satuan pekerjaan sudah termasuk Galian, urugan tanah kembali dan perlindungan kabel dan penanda kabel, training, test commissioning, pengadaan material, fitting, suport, accesories dan pemasangan peralatan dan alat-alat bantu yang diperlukan hingga pekerjaan yang dinyatakan tercapai dengan baik. Pekerjaan harus dilaksanakan sesuai dengan gambar dan spesifikasi teknik.</t>
  </si>
  <si>
    <t>Harga satuan pekerjaan plumbing sudah termasuk pekerjaan galian tanah dan timbunan , training, test commissioning, pengadaan material, fitting, suport, accesories dan pemasangan peralatan dan alat-alat bantu yang diperlukan hingga pekerjaan yang dinyatakan tercapai dengan baik. Pekerjaan harus dilaksanakan sesuai dengan gambar dan spesifikasi teknik.</t>
  </si>
  <si>
    <t xml:space="preserve">PEMBANGUNAN JTU TAHAP 2 ( RUAS LAB TERPADU - JEMBATAN SIKATAK ) </t>
  </si>
  <si>
    <t>PEMBANGUNAN JTU TAHAP 2 ( RUAS LAB TERPADU - JEMBATAN SIKATAK )</t>
  </si>
  <si>
    <t>Lampu high mas t Floodlight led 200 watt + driver + kap + suport + acceosries</t>
  </si>
  <si>
    <t>hrg HPS</t>
  </si>
  <si>
    <t>harga Timpang</t>
  </si>
  <si>
    <t>Kemungkinan Adendum 10%</t>
  </si>
  <si>
    <t>Harga Perkiraan Sendiri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</si>
</sst>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[$Rp-421]* #,##0.00_);_([$Rp-421]* \(#,##0.00\);_([$Rp-421]* &quot;-&quot;??_);_(@_)"/>
    <numFmt numFmtId="167" formatCode="_(* #,##0.000_);_(* \(#,##0.000\);_(* &quot;-&quot;_);_(@_)"/>
    <numFmt numFmtId="168" formatCode="0_)"/>
    <numFmt numFmtId="169" formatCode="_(* #,##0.000_);_(* \(#,##0.000\);_(* &quot;-&quot;??_);_(@_)"/>
    <numFmt numFmtId="170" formatCode="#,##0.000_);\(#,##0.000\)"/>
    <numFmt numFmtId="171" formatCode="#,##0.0000;\-#,##0.0000"/>
    <numFmt numFmtId="172" formatCode="#,##0.0000_);\(#,##0.0000\)"/>
    <numFmt numFmtId="173" formatCode="_-* #,##0.000_-;\-* #,##0.000_-;_-* &quot;-&quot;_-;_-@_-"/>
    <numFmt numFmtId="174" formatCode="_(* #,##0.0_);_(* \(#,##0.0\);_(* &quot;-&quot;??_);_(@_)"/>
    <numFmt numFmtId="175" formatCode="_(* #,##0_);_(* \(#,##0\);_(* &quot;-&quot;??_);_(@_)"/>
    <numFmt numFmtId="176" formatCode="_-[$Rp-421]* #,##0.00_-;\-[$Rp-421]* #,##0.00_-;_-[$Rp-421]* &quot;-&quot;??_-;_-@_-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color rgb="FFFF0000"/>
      <name val="Arial Narrow"/>
      <family val="2"/>
    </font>
    <font>
      <sz val="12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0"/>
      <name val="Arial Narrow"/>
      <family val="2"/>
    </font>
    <font>
      <b/>
      <sz val="18"/>
      <name val="Tahoma"/>
      <family val="2"/>
    </font>
    <font>
      <b/>
      <sz val="14"/>
      <name val="Tahoma"/>
      <family val="2"/>
    </font>
    <font>
      <b/>
      <sz val="14"/>
      <color rgb="FFFF0000"/>
      <name val="Tahoma"/>
      <family val="2"/>
    </font>
    <font>
      <sz val="14"/>
      <name val="Arial Narrow"/>
      <family val="2"/>
    </font>
    <font>
      <b/>
      <sz val="16"/>
      <name val="Tahoma"/>
      <family val="2"/>
    </font>
    <font>
      <b/>
      <sz val="14"/>
      <color theme="0"/>
      <name val="Tahoma"/>
      <family val="2"/>
    </font>
    <font>
      <sz val="11"/>
      <color rgb="FFFF0000"/>
      <name val="Tahoma"/>
      <family val="2"/>
    </font>
    <font>
      <b/>
      <sz val="13"/>
      <name val="Tahoma"/>
      <family val="2"/>
    </font>
    <font>
      <sz val="13"/>
      <color rgb="FFFF0000"/>
      <name val="Tahoma"/>
      <family val="2"/>
    </font>
    <font>
      <sz val="13"/>
      <name val="Tahoma"/>
      <family val="2"/>
    </font>
    <font>
      <sz val="11"/>
      <color indexed="8"/>
      <name val="Tahoma"/>
      <family val="2"/>
    </font>
    <font>
      <b/>
      <sz val="12"/>
      <name val="Tahoma"/>
      <family val="2"/>
    </font>
    <font>
      <vertAlign val="superscript"/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charset val="1"/>
      <scheme val="minor"/>
    </font>
    <font>
      <vertAlign val="superscript"/>
      <sz val="11"/>
      <color indexed="8"/>
      <name val="Tahoma"/>
      <family val="2"/>
    </font>
    <font>
      <b/>
      <sz val="13"/>
      <color indexed="8"/>
      <name val="Tahoma"/>
      <family val="2"/>
    </font>
    <font>
      <b/>
      <sz val="13"/>
      <color rgb="FFFF0000"/>
      <name val="Tahoma"/>
      <family val="2"/>
    </font>
    <font>
      <sz val="12"/>
      <name val="Tahoma"/>
      <family val="2"/>
    </font>
    <font>
      <sz val="11"/>
      <color rgb="FFFF0000"/>
      <name val="Arial"/>
      <family val="2"/>
    </font>
    <font>
      <sz val="14"/>
      <name val="Tahoma"/>
      <family val="2"/>
    </font>
    <font>
      <sz val="12"/>
      <name val="DUTCH"/>
    </font>
    <font>
      <sz val="11"/>
      <color theme="0"/>
      <name val="Tahoma"/>
      <family val="2"/>
    </font>
    <font>
      <sz val="11"/>
      <name val="Calibri"/>
      <family val="2"/>
    </font>
    <font>
      <b/>
      <sz val="22"/>
      <name val="Tahoma"/>
      <family val="2"/>
    </font>
    <font>
      <b/>
      <u/>
      <sz val="12"/>
      <name val="Tahoma"/>
      <family val="2"/>
    </font>
    <font>
      <b/>
      <sz val="14"/>
      <color theme="1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Tahoma"/>
      <family val="2"/>
    </font>
    <font>
      <sz val="12"/>
      <color indexed="8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double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8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6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39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39" fontId="8" fillId="0" borderId="0"/>
    <xf numFmtId="0" fontId="1" fillId="0" borderId="0"/>
    <xf numFmtId="39" fontId="33" fillId="0" borderId="0"/>
    <xf numFmtId="0" fontId="39" fillId="0" borderId="0"/>
    <xf numFmtId="0" fontId="4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9" fontId="8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</cellStyleXfs>
  <cellXfs count="629">
    <xf numFmtId="0" fontId="0" fillId="0" borderId="0" xfId="0"/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vertical="center"/>
    </xf>
    <xf numFmtId="0" fontId="13" fillId="2" borderId="0" xfId="4" applyFont="1" applyFill="1" applyAlignment="1">
      <alignment horizontal="left" vertical="center"/>
    </xf>
    <xf numFmtId="0" fontId="14" fillId="2" borderId="0" xfId="4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15" fillId="2" borderId="0" xfId="4" applyFont="1" applyFill="1" applyAlignment="1">
      <alignment vertical="center"/>
    </xf>
    <xf numFmtId="39" fontId="2" fillId="0" borderId="0" xfId="4" applyNumberFormat="1" applyFont="1"/>
    <xf numFmtId="0" fontId="14" fillId="2" borderId="0" xfId="4" applyFont="1" applyFill="1" applyAlignment="1">
      <alignment horizontal="left" vertical="center"/>
    </xf>
    <xf numFmtId="39" fontId="15" fillId="0" borderId="0" xfId="4" applyNumberFormat="1" applyFont="1"/>
    <xf numFmtId="0" fontId="13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left" vertical="center"/>
    </xf>
    <xf numFmtId="0" fontId="17" fillId="2" borderId="0" xfId="4" applyFont="1" applyFill="1" applyAlignment="1">
      <alignment vertical="center"/>
    </xf>
    <xf numFmtId="0" fontId="4" fillId="5" borderId="0" xfId="5" applyNumberFormat="1" applyFont="1" applyFill="1" applyAlignment="1">
      <alignment horizontal="center" vertical="center" wrapText="1"/>
    </xf>
    <xf numFmtId="39" fontId="2" fillId="0" borderId="0" xfId="5" applyFont="1"/>
    <xf numFmtId="39" fontId="2" fillId="0" borderId="0" xfId="5" applyFont="1" applyAlignment="1">
      <alignment vertical="center"/>
    </xf>
    <xf numFmtId="39" fontId="18" fillId="2" borderId="40" xfId="5" applyFont="1" applyFill="1" applyBorder="1" applyAlignment="1">
      <alignment horizontal="center"/>
    </xf>
    <xf numFmtId="39" fontId="18" fillId="2" borderId="41" xfId="5" applyFont="1" applyFill="1" applyBorder="1"/>
    <xf numFmtId="39" fontId="18" fillId="2" borderId="42" xfId="5" applyFont="1" applyFill="1" applyBorder="1"/>
    <xf numFmtId="39" fontId="18" fillId="2" borderId="43" xfId="5" applyFont="1" applyFill="1" applyBorder="1"/>
    <xf numFmtId="39" fontId="9" fillId="2" borderId="44" xfId="5" applyFont="1" applyFill="1" applyBorder="1"/>
    <xf numFmtId="39" fontId="18" fillId="2" borderId="45" xfId="5" applyFont="1" applyFill="1" applyBorder="1"/>
    <xf numFmtId="39" fontId="7" fillId="0" borderId="0" xfId="5" applyFont="1" applyAlignment="1">
      <alignment vertical="center"/>
    </xf>
    <xf numFmtId="39" fontId="19" fillId="6" borderId="46" xfId="5" applyFont="1" applyFill="1" applyBorder="1" applyAlignment="1">
      <alignment horizontal="center"/>
    </xf>
    <xf numFmtId="39" fontId="20" fillId="6" borderId="47" xfId="5" applyFont="1" applyFill="1" applyBorder="1"/>
    <xf numFmtId="39" fontId="20" fillId="6" borderId="49" xfId="5" applyFont="1" applyFill="1" applyBorder="1"/>
    <xf numFmtId="39" fontId="21" fillId="6" borderId="50" xfId="5" applyFont="1" applyFill="1" applyBorder="1"/>
    <xf numFmtId="39" fontId="19" fillId="6" borderId="51" xfId="5" applyFont="1" applyFill="1" applyBorder="1"/>
    <xf numFmtId="39" fontId="18" fillId="2" borderId="52" xfId="5" applyFont="1" applyFill="1" applyBorder="1" applyAlignment="1">
      <alignment horizontal="center"/>
    </xf>
    <xf numFmtId="39" fontId="18" fillId="2" borderId="47" xfId="5" applyFont="1" applyFill="1" applyBorder="1"/>
    <xf numFmtId="39" fontId="18" fillId="2" borderId="49" xfId="5" applyFont="1" applyFill="1" applyBorder="1"/>
    <xf numFmtId="39" fontId="9" fillId="2" borderId="50" xfId="5" applyFont="1" applyFill="1" applyBorder="1"/>
    <xf numFmtId="39" fontId="9" fillId="2" borderId="51" xfId="5" applyFont="1" applyFill="1" applyBorder="1"/>
    <xf numFmtId="39" fontId="19" fillId="3" borderId="46" xfId="5" applyFont="1" applyFill="1" applyBorder="1" applyAlignment="1">
      <alignment horizontal="center"/>
    </xf>
    <xf numFmtId="39" fontId="20" fillId="3" borderId="47" xfId="5" applyFont="1" applyFill="1" applyBorder="1"/>
    <xf numFmtId="39" fontId="20" fillId="3" borderId="49" xfId="5" applyFont="1" applyFill="1" applyBorder="1"/>
    <xf numFmtId="39" fontId="21" fillId="3" borderId="50" xfId="5" applyFont="1" applyFill="1" applyBorder="1"/>
    <xf numFmtId="39" fontId="19" fillId="3" borderId="51" xfId="5" applyFont="1" applyFill="1" applyBorder="1"/>
    <xf numFmtId="37" fontId="23" fillId="6" borderId="46" xfId="5" applyNumberFormat="1" applyFont="1" applyFill="1" applyBorder="1" applyAlignment="1" applyProtection="1">
      <alignment horizontal="center" vertical="center"/>
      <protection locked="0"/>
    </xf>
    <xf numFmtId="170" fontId="9" fillId="6" borderId="47" xfId="4" applyNumberFormat="1" applyFont="1" applyFill="1" applyBorder="1" applyAlignment="1">
      <alignment vertical="center"/>
    </xf>
    <xf numFmtId="39" fontId="9" fillId="6" borderId="49" xfId="4" applyNumberFormat="1" applyFont="1" applyFill="1" applyBorder="1" applyAlignment="1">
      <alignment horizontal="center" vertical="center"/>
    </xf>
    <xf numFmtId="39" fontId="9" fillId="6" borderId="50" xfId="4" applyNumberFormat="1" applyFont="1" applyFill="1" applyBorder="1" applyAlignment="1">
      <alignment vertical="center"/>
    </xf>
    <xf numFmtId="39" fontId="7" fillId="0" borderId="0" xfId="4" applyNumberFormat="1" applyFont="1" applyAlignment="1">
      <alignment vertical="center"/>
    </xf>
    <xf numFmtId="37" fontId="23" fillId="2" borderId="59" xfId="5" applyNumberFormat="1" applyFont="1" applyFill="1" applyBorder="1" applyAlignment="1" applyProtection="1">
      <alignment horizontal="center" vertical="center"/>
      <protection locked="0"/>
    </xf>
    <xf numFmtId="170" fontId="9" fillId="2" borderId="61" xfId="9" applyNumberFormat="1" applyFont="1" applyFill="1" applyBorder="1" applyAlignment="1">
      <alignment vertical="center"/>
    </xf>
    <xf numFmtId="39" fontId="9" fillId="2" borderId="62" xfId="9" applyNumberFormat="1" applyFont="1" applyFill="1" applyBorder="1" applyAlignment="1">
      <alignment horizontal="center" vertical="center"/>
    </xf>
    <xf numFmtId="39" fontId="9" fillId="2" borderId="18" xfId="9" applyNumberFormat="1" applyFont="1" applyFill="1" applyBorder="1" applyAlignment="1">
      <alignment vertical="center"/>
    </xf>
    <xf numFmtId="39" fontId="19" fillId="2" borderId="63" xfId="5" applyFont="1" applyFill="1" applyBorder="1" applyAlignment="1" applyProtection="1">
      <alignment vertical="center"/>
      <protection locked="0"/>
    </xf>
    <xf numFmtId="37" fontId="9" fillId="2" borderId="46" xfId="9" applyNumberFormat="1" applyFont="1" applyFill="1" applyBorder="1" applyAlignment="1">
      <alignment horizontal="center" vertical="center"/>
    </xf>
    <xf numFmtId="167" fontId="9" fillId="2" borderId="47" xfId="10" applyNumberFormat="1" applyFont="1" applyFill="1" applyBorder="1" applyAlignment="1" applyProtection="1">
      <alignment horizontal="right" vertical="center"/>
    </xf>
    <xf numFmtId="39" fontId="9" fillId="2" borderId="49" xfId="9" applyNumberFormat="1" applyFont="1" applyFill="1" applyBorder="1" applyAlignment="1">
      <alignment horizontal="center" vertical="center"/>
    </xf>
    <xf numFmtId="39" fontId="9" fillId="2" borderId="50" xfId="9" applyNumberFormat="1" applyFont="1" applyFill="1" applyBorder="1" applyAlignment="1">
      <alignment vertical="center"/>
    </xf>
    <xf numFmtId="39" fontId="9" fillId="2" borderId="51" xfId="9" applyNumberFormat="1" applyFont="1" applyFill="1" applyBorder="1" applyAlignment="1">
      <alignment vertical="center"/>
    </xf>
    <xf numFmtId="37" fontId="23" fillId="3" borderId="46" xfId="5" applyNumberFormat="1" applyFont="1" applyFill="1" applyBorder="1" applyAlignment="1" applyProtection="1">
      <alignment horizontal="center" vertical="center"/>
      <protection locked="0"/>
    </xf>
    <xf numFmtId="170" fontId="9" fillId="3" borderId="47" xfId="4" applyNumberFormat="1" applyFont="1" applyFill="1" applyBorder="1" applyAlignment="1">
      <alignment vertical="center"/>
    </xf>
    <xf numFmtId="39" fontId="9" fillId="3" borderId="49" xfId="4" applyNumberFormat="1" applyFont="1" applyFill="1" applyBorder="1" applyAlignment="1">
      <alignment horizontal="center" vertical="center"/>
    </xf>
    <xf numFmtId="39" fontId="9" fillId="3" borderId="50" xfId="4" applyNumberFormat="1" applyFont="1" applyFill="1" applyBorder="1" applyAlignment="1">
      <alignment vertical="center"/>
    </xf>
    <xf numFmtId="39" fontId="19" fillId="3" borderId="51" xfId="5" applyFont="1" applyFill="1" applyBorder="1" applyAlignment="1" applyProtection="1">
      <alignment vertical="center"/>
      <protection locked="0"/>
    </xf>
    <xf numFmtId="37" fontId="23" fillId="2" borderId="46" xfId="5" applyNumberFormat="1" applyFont="1" applyFill="1" applyBorder="1" applyAlignment="1" applyProtection="1">
      <alignment horizontal="center" vertical="center"/>
      <protection locked="0"/>
    </xf>
    <xf numFmtId="170" fontId="9" fillId="2" borderId="47" xfId="4" applyNumberFormat="1" applyFont="1" applyFill="1" applyBorder="1" applyAlignment="1">
      <alignment vertical="center"/>
    </xf>
    <xf numFmtId="39" fontId="9" fillId="2" borderId="49" xfId="4" applyNumberFormat="1" applyFont="1" applyFill="1" applyBorder="1" applyAlignment="1">
      <alignment horizontal="center" vertical="center"/>
    </xf>
    <xf numFmtId="39" fontId="9" fillId="2" borderId="50" xfId="4" applyNumberFormat="1" applyFont="1" applyFill="1" applyBorder="1" applyAlignment="1">
      <alignment vertical="center"/>
    </xf>
    <xf numFmtId="39" fontId="19" fillId="2" borderId="51" xfId="5" applyFont="1" applyFill="1" applyBorder="1" applyAlignment="1" applyProtection="1">
      <alignment vertical="center"/>
      <protection locked="0"/>
    </xf>
    <xf numFmtId="39" fontId="9" fillId="2" borderId="60" xfId="4" applyNumberFormat="1" applyFont="1" applyFill="1" applyBorder="1" applyAlignment="1">
      <alignment vertical="center"/>
    </xf>
    <xf numFmtId="170" fontId="9" fillId="2" borderId="61" xfId="4" applyNumberFormat="1" applyFont="1" applyFill="1" applyBorder="1" applyAlignment="1">
      <alignment vertical="center"/>
    </xf>
    <xf numFmtId="39" fontId="9" fillId="2" borderId="62" xfId="4" applyNumberFormat="1" applyFont="1" applyFill="1" applyBorder="1" applyAlignment="1">
      <alignment horizontal="center" vertical="center"/>
    </xf>
    <xf numFmtId="37" fontId="9" fillId="2" borderId="59" xfId="4" applyNumberFormat="1" applyFont="1" applyFill="1" applyBorder="1" applyAlignment="1">
      <alignment horizontal="center" vertical="center"/>
    </xf>
    <xf numFmtId="39" fontId="9" fillId="2" borderId="63" xfId="4" applyNumberFormat="1" applyFont="1" applyFill="1" applyBorder="1" applyAlignment="1">
      <alignment vertical="center"/>
    </xf>
    <xf numFmtId="39" fontId="25" fillId="2" borderId="62" xfId="4" applyNumberFormat="1" applyFont="1" applyFill="1" applyBorder="1" applyAlignment="1">
      <alignment vertical="center"/>
    </xf>
    <xf numFmtId="37" fontId="23" fillId="3" borderId="59" xfId="5" applyNumberFormat="1" applyFont="1" applyFill="1" applyBorder="1" applyAlignment="1" applyProtection="1">
      <alignment horizontal="center" vertical="center"/>
      <protection locked="0"/>
    </xf>
    <xf numFmtId="170" fontId="18" fillId="3" borderId="61" xfId="4" applyNumberFormat="1" applyFont="1" applyFill="1" applyBorder="1" applyAlignment="1">
      <alignment horizontal="right" vertical="center"/>
    </xf>
    <xf numFmtId="39" fontId="18" fillId="3" borderId="62" xfId="4" applyNumberFormat="1" applyFont="1" applyFill="1" applyBorder="1" applyAlignment="1">
      <alignment horizontal="center" vertical="center"/>
    </xf>
    <xf numFmtId="39" fontId="18" fillId="3" borderId="62" xfId="4" applyNumberFormat="1" applyFont="1" applyFill="1" applyBorder="1" applyAlignment="1">
      <alignment vertical="center"/>
    </xf>
    <xf numFmtId="39" fontId="19" fillId="3" borderId="63" xfId="5" applyFont="1" applyFill="1" applyBorder="1" applyAlignment="1" applyProtection="1">
      <alignment vertical="center"/>
      <protection locked="0"/>
    </xf>
    <xf numFmtId="169" fontId="22" fillId="2" borderId="61" xfId="6" applyNumberFormat="1" applyFont="1" applyFill="1" applyBorder="1" applyAlignment="1">
      <alignment horizontal="right" vertical="center"/>
    </xf>
    <xf numFmtId="39" fontId="9" fillId="2" borderId="65" xfId="6" applyNumberFormat="1" applyFont="1" applyFill="1" applyBorder="1" applyAlignment="1">
      <alignment vertical="center"/>
    </xf>
    <xf numFmtId="37" fontId="19" fillId="6" borderId="59" xfId="5" applyNumberFormat="1" applyFont="1" applyFill="1" applyBorder="1" applyAlignment="1" applyProtection="1">
      <alignment horizontal="center" vertical="center"/>
      <protection locked="0"/>
    </xf>
    <xf numFmtId="170" fontId="20" fillId="6" borderId="61" xfId="4" applyNumberFormat="1" applyFont="1" applyFill="1" applyBorder="1" applyAlignment="1">
      <alignment horizontal="right" vertical="center"/>
    </xf>
    <xf numFmtId="39" fontId="20" fillId="6" borderId="62" xfId="4" applyNumberFormat="1" applyFont="1" applyFill="1" applyBorder="1" applyAlignment="1">
      <alignment horizontal="center" vertical="center"/>
    </xf>
    <xf numFmtId="39" fontId="20" fillId="6" borderId="62" xfId="4" applyNumberFormat="1" applyFont="1" applyFill="1" applyBorder="1" applyAlignment="1">
      <alignment vertical="center"/>
    </xf>
    <xf numFmtId="39" fontId="28" fillId="6" borderId="65" xfId="6" applyNumberFormat="1" applyFont="1" applyFill="1" applyBorder="1" applyAlignment="1">
      <alignment vertical="center"/>
    </xf>
    <xf numFmtId="0" fontId="9" fillId="2" borderId="62" xfId="6" applyFont="1" applyFill="1" applyBorder="1" applyAlignment="1">
      <alignment horizontal="center" vertical="center"/>
    </xf>
    <xf numFmtId="39" fontId="25" fillId="2" borderId="60" xfId="4" applyNumberFormat="1" applyFont="1" applyFill="1" applyBorder="1" applyAlignment="1">
      <alignment vertical="center"/>
    </xf>
    <xf numFmtId="37" fontId="19" fillId="3" borderId="59" xfId="5" applyNumberFormat="1" applyFont="1" applyFill="1" applyBorder="1" applyAlignment="1" applyProtection="1">
      <alignment horizontal="center" vertical="center"/>
      <protection locked="0"/>
    </xf>
    <xf numFmtId="170" fontId="29" fillId="3" borderId="61" xfId="4" applyNumberFormat="1" applyFont="1" applyFill="1" applyBorder="1" applyAlignment="1">
      <alignment horizontal="right" vertical="center"/>
    </xf>
    <xf numFmtId="39" fontId="29" fillId="3" borderId="62" xfId="4" applyNumberFormat="1" applyFont="1" applyFill="1" applyBorder="1" applyAlignment="1">
      <alignment horizontal="center" vertical="center"/>
    </xf>
    <xf numFmtId="39" fontId="29" fillId="3" borderId="62" xfId="4" applyNumberFormat="1" applyFont="1" applyFill="1" applyBorder="1" applyAlignment="1">
      <alignment vertical="center"/>
    </xf>
    <xf numFmtId="39" fontId="28" fillId="3" borderId="65" xfId="6" applyNumberFormat="1" applyFont="1" applyFill="1" applyBorder="1" applyAlignment="1">
      <alignment vertical="center"/>
    </xf>
    <xf numFmtId="39" fontId="9" fillId="2" borderId="68" xfId="4" applyNumberFormat="1" applyFont="1" applyFill="1" applyBorder="1" applyAlignment="1">
      <alignment vertical="center"/>
    </xf>
    <xf numFmtId="39" fontId="19" fillId="6" borderId="63" xfId="5" applyFont="1" applyFill="1" applyBorder="1" applyAlignment="1" applyProtection="1">
      <alignment vertical="center"/>
      <protection locked="0"/>
    </xf>
    <xf numFmtId="37" fontId="23" fillId="2" borderId="66" xfId="5" applyNumberFormat="1" applyFont="1" applyFill="1" applyBorder="1" applyAlignment="1" applyProtection="1">
      <alignment horizontal="center" vertical="center"/>
      <protection locked="0"/>
    </xf>
    <xf numFmtId="39" fontId="18" fillId="2" borderId="60" xfId="4" applyNumberFormat="1" applyFont="1" applyFill="1" applyBorder="1" applyAlignment="1">
      <alignment vertical="center"/>
    </xf>
    <xf numFmtId="170" fontId="18" fillId="2" borderId="61" xfId="4" applyNumberFormat="1" applyFont="1" applyFill="1" applyBorder="1" applyAlignment="1">
      <alignment horizontal="right" vertical="center"/>
    </xf>
    <xf numFmtId="39" fontId="18" fillId="2" borderId="62" xfId="4" applyNumberFormat="1" applyFont="1" applyFill="1" applyBorder="1" applyAlignment="1">
      <alignment horizontal="center" vertical="center"/>
    </xf>
    <xf numFmtId="37" fontId="23" fillId="6" borderId="59" xfId="5" applyNumberFormat="1" applyFont="1" applyFill="1" applyBorder="1" applyAlignment="1" applyProtection="1">
      <alignment horizontal="center" vertical="center"/>
      <protection locked="0"/>
    </xf>
    <xf numFmtId="170" fontId="18" fillId="6" borderId="61" xfId="4" applyNumberFormat="1" applyFont="1" applyFill="1" applyBorder="1" applyAlignment="1">
      <alignment horizontal="right" vertical="center"/>
    </xf>
    <xf numFmtId="39" fontId="18" fillId="6" borderId="62" xfId="4" applyNumberFormat="1" applyFont="1" applyFill="1" applyBorder="1" applyAlignment="1">
      <alignment horizontal="center" vertical="center"/>
    </xf>
    <xf numFmtId="39" fontId="18" fillId="6" borderId="62" xfId="4" applyNumberFormat="1" applyFont="1" applyFill="1" applyBorder="1" applyAlignment="1">
      <alignment vertical="center"/>
    </xf>
    <xf numFmtId="170" fontId="9" fillId="2" borderId="61" xfId="4" applyNumberFormat="1" applyFont="1" applyFill="1" applyBorder="1" applyAlignment="1">
      <alignment horizontal="right" vertical="center"/>
    </xf>
    <xf numFmtId="37" fontId="9" fillId="2" borderId="69" xfId="4" applyNumberFormat="1" applyFont="1" applyFill="1" applyBorder="1" applyAlignment="1">
      <alignment horizontal="center" vertical="center"/>
    </xf>
    <xf numFmtId="169" fontId="9" fillId="2" borderId="70" xfId="6" applyNumberFormat="1" applyFont="1" applyFill="1" applyBorder="1" applyAlignment="1">
      <alignment horizontal="right" vertical="center"/>
    </xf>
    <xf numFmtId="0" fontId="9" fillId="2" borderId="72" xfId="6" applyFont="1" applyFill="1" applyBorder="1" applyAlignment="1">
      <alignment horizontal="center" vertical="center"/>
    </xf>
    <xf numFmtId="39" fontId="9" fillId="2" borderId="71" xfId="6" applyNumberFormat="1" applyFont="1" applyFill="1" applyBorder="1" applyAlignment="1">
      <alignment vertical="center"/>
    </xf>
    <xf numFmtId="39" fontId="9" fillId="2" borderId="63" xfId="6" applyNumberFormat="1" applyFont="1" applyFill="1" applyBorder="1" applyAlignment="1">
      <alignment vertical="center"/>
    </xf>
    <xf numFmtId="39" fontId="7" fillId="0" borderId="0" xfId="5" applyFont="1"/>
    <xf numFmtId="39" fontId="31" fillId="0" borderId="0" xfId="12" applyFont="1"/>
    <xf numFmtId="39" fontId="12" fillId="0" borderId="0" xfId="11" applyNumberFormat="1" applyFont="1" applyAlignment="1">
      <alignment vertical="center"/>
    </xf>
    <xf numFmtId="39" fontId="18" fillId="0" borderId="0" xfId="5" applyFont="1"/>
    <xf numFmtId="0" fontId="32" fillId="0" borderId="0" xfId="2" applyNumberFormat="1" applyFont="1" applyFill="1" applyBorder="1" applyAlignment="1" applyProtection="1">
      <alignment vertical="center"/>
    </xf>
    <xf numFmtId="0" fontId="13" fillId="0" borderId="0" xfId="2" applyNumberFormat="1" applyFont="1" applyFill="1" applyBorder="1" applyAlignment="1" applyProtection="1">
      <alignment vertical="center"/>
    </xf>
    <xf numFmtId="39" fontId="23" fillId="0" borderId="0" xfId="11" applyNumberFormat="1" applyFont="1" applyAlignment="1">
      <alignment vertical="center"/>
    </xf>
    <xf numFmtId="0" fontId="13" fillId="0" borderId="0" xfId="13" applyFont="1"/>
    <xf numFmtId="0" fontId="13" fillId="0" borderId="0" xfId="2" applyNumberFormat="1" applyFont="1" applyFill="1" applyBorder="1" applyAlignment="1" applyProtection="1">
      <alignment horizontal="left"/>
    </xf>
    <xf numFmtId="0" fontId="10" fillId="0" borderId="0" xfId="13" applyFont="1" applyAlignment="1">
      <alignment horizontal="left" indent="1"/>
    </xf>
    <xf numFmtId="39" fontId="10" fillId="0" borderId="0" xfId="11" applyNumberFormat="1" applyFont="1"/>
    <xf numFmtId="39" fontId="13" fillId="0" borderId="73" xfId="4" applyNumberFormat="1" applyFont="1" applyBorder="1" applyAlignment="1">
      <alignment horizontal="center" vertical="center"/>
    </xf>
    <xf numFmtId="39" fontId="13" fillId="0" borderId="73" xfId="5" applyFont="1" applyBorder="1" applyAlignment="1">
      <alignment horizontal="left"/>
    </xf>
    <xf numFmtId="39" fontId="10" fillId="0" borderId="0" xfId="5" applyFont="1"/>
    <xf numFmtId="39" fontId="9" fillId="0" borderId="0" xfId="5" applyFont="1"/>
    <xf numFmtId="39" fontId="18" fillId="0" borderId="24" xfId="5" applyFont="1" applyBorder="1" applyAlignment="1">
      <alignment vertical="center"/>
    </xf>
    <xf numFmtId="39" fontId="9" fillId="0" borderId="5" xfId="5" applyFont="1" applyBorder="1" applyAlignment="1">
      <alignment vertical="center"/>
    </xf>
    <xf numFmtId="39" fontId="9" fillId="0" borderId="6" xfId="5" applyFont="1" applyBorder="1" applyAlignment="1">
      <alignment vertical="center"/>
    </xf>
    <xf numFmtId="39" fontId="9" fillId="0" borderId="78" xfId="5" applyFont="1" applyBorder="1" applyAlignment="1">
      <alignment vertical="center"/>
    </xf>
    <xf numFmtId="39" fontId="13" fillId="2" borderId="23" xfId="4" applyNumberFormat="1" applyFont="1" applyFill="1" applyBorder="1" applyAlignment="1">
      <alignment horizontal="center" vertical="center"/>
    </xf>
    <xf numFmtId="39" fontId="13" fillId="2" borderId="11" xfId="4" applyNumberFormat="1" applyFont="1" applyFill="1" applyBorder="1" applyAlignment="1">
      <alignment horizontal="left" vertical="center"/>
    </xf>
    <xf numFmtId="39" fontId="32" fillId="2" borderId="11" xfId="4" applyNumberFormat="1" applyFont="1" applyFill="1" applyBorder="1" applyAlignment="1">
      <alignment horizontal="left" vertical="center"/>
    </xf>
    <xf numFmtId="166" fontId="32" fillId="2" borderId="12" xfId="4" applyNumberFormat="1" applyFont="1" applyFill="1" applyBorder="1" applyAlignment="1">
      <alignment horizontal="right" vertical="center"/>
    </xf>
    <xf numFmtId="39" fontId="13" fillId="2" borderId="79" xfId="5" applyFont="1" applyFill="1" applyBorder="1" applyAlignment="1">
      <alignment horizontal="right" vertical="center"/>
    </xf>
    <xf numFmtId="39" fontId="16" fillId="0" borderId="80" xfId="5" applyFont="1" applyBorder="1" applyAlignment="1">
      <alignment horizontal="center" vertical="center"/>
    </xf>
    <xf numFmtId="39" fontId="16" fillId="0" borderId="81" xfId="5" applyFont="1" applyBorder="1" applyAlignment="1">
      <alignment horizontal="center" vertical="center"/>
    </xf>
    <xf numFmtId="39" fontId="16" fillId="0" borderId="81" xfId="14" applyFont="1" applyBorder="1" applyAlignment="1">
      <alignment horizontal="right" vertical="center"/>
    </xf>
    <xf numFmtId="39" fontId="16" fillId="0" borderId="82" xfId="5" applyFont="1" applyBorder="1" applyAlignment="1">
      <alignment vertical="center"/>
    </xf>
    <xf numFmtId="39" fontId="16" fillId="0" borderId="20" xfId="5" applyFont="1" applyBorder="1" applyAlignment="1">
      <alignment horizontal="center" vertical="center"/>
    </xf>
    <xf numFmtId="39" fontId="16" fillId="0" borderId="8" xfId="5" applyFont="1" applyBorder="1" applyAlignment="1">
      <alignment horizontal="center" vertical="center"/>
    </xf>
    <xf numFmtId="39" fontId="16" fillId="0" borderId="8" xfId="14" applyFont="1" applyBorder="1" applyAlignment="1">
      <alignment horizontal="right" vertical="center"/>
    </xf>
    <xf numFmtId="39" fontId="16" fillId="0" borderId="22" xfId="5" applyFont="1" applyBorder="1" applyAlignment="1">
      <alignment vertical="center"/>
    </xf>
    <xf numFmtId="39" fontId="16" fillId="0" borderId="83" xfId="5" applyFont="1" applyBorder="1" applyAlignment="1">
      <alignment horizontal="center" vertical="center"/>
    </xf>
    <xf numFmtId="39" fontId="16" fillId="0" borderId="11" xfId="5" applyFont="1" applyBorder="1" applyAlignment="1">
      <alignment horizontal="center" vertical="center"/>
    </xf>
    <xf numFmtId="39" fontId="16" fillId="0" borderId="84" xfId="14" applyFont="1" applyBorder="1" applyAlignment="1">
      <alignment horizontal="right" vertical="center"/>
    </xf>
    <xf numFmtId="39" fontId="16" fillId="0" borderId="85" xfId="5" applyFont="1" applyBorder="1" applyAlignment="1">
      <alignment vertical="center"/>
    </xf>
    <xf numFmtId="39" fontId="34" fillId="2" borderId="0" xfId="5" applyFont="1" applyFill="1"/>
    <xf numFmtId="39" fontId="30" fillId="0" borderId="0" xfId="5" applyFont="1"/>
    <xf numFmtId="39" fontId="23" fillId="0" borderId="0" xfId="5" applyFont="1"/>
    <xf numFmtId="39" fontId="23" fillId="6" borderId="51" xfId="5" applyFont="1" applyFill="1" applyBorder="1" applyAlignment="1" applyProtection="1">
      <alignment vertical="center"/>
      <protection locked="0"/>
    </xf>
    <xf numFmtId="37" fontId="10" fillId="2" borderId="59" xfId="4" applyNumberFormat="1" applyFont="1" applyFill="1" applyBorder="1" applyAlignment="1">
      <alignment horizontal="center" vertical="center"/>
    </xf>
    <xf numFmtId="39" fontId="9" fillId="2" borderId="93" xfId="6" applyNumberFormat="1" applyFont="1" applyFill="1" applyBorder="1" applyAlignment="1">
      <alignment vertical="center"/>
    </xf>
    <xf numFmtId="37" fontId="19" fillId="2" borderId="94" xfId="5" applyNumberFormat="1" applyFont="1" applyFill="1" applyBorder="1" applyAlignment="1" applyProtection="1">
      <alignment horizontal="center" vertical="center"/>
      <protection locked="0"/>
    </xf>
    <xf numFmtId="39" fontId="28" fillId="2" borderId="65" xfId="6" applyNumberFormat="1" applyFont="1" applyFill="1" applyBorder="1" applyAlignment="1">
      <alignment vertical="center"/>
    </xf>
    <xf numFmtId="37" fontId="9" fillId="2" borderId="94" xfId="4" applyNumberFormat="1" applyFont="1" applyFill="1" applyBorder="1" applyAlignment="1">
      <alignment horizontal="center" vertical="center"/>
    </xf>
    <xf numFmtId="39" fontId="9" fillId="2" borderId="101" xfId="0" applyNumberFormat="1" applyFont="1" applyFill="1" applyBorder="1" applyAlignment="1">
      <alignment vertical="center"/>
    </xf>
    <xf numFmtId="39" fontId="37" fillId="0" borderId="0" xfId="5" applyFont="1"/>
    <xf numFmtId="39" fontId="23" fillId="3" borderId="63" xfId="5" applyFont="1" applyFill="1" applyBorder="1" applyAlignment="1" applyProtection="1">
      <alignment vertical="center"/>
      <protection locked="0"/>
    </xf>
    <xf numFmtId="39" fontId="9" fillId="2" borderId="100" xfId="0" applyNumberFormat="1" applyFont="1" applyFill="1" applyBorder="1" applyAlignment="1">
      <alignment vertical="center"/>
    </xf>
    <xf numFmtId="39" fontId="23" fillId="6" borderId="74" xfId="5" applyFont="1" applyFill="1" applyBorder="1" applyAlignment="1">
      <alignment horizontal="center" vertical="center" wrapText="1"/>
    </xf>
    <xf numFmtId="39" fontId="23" fillId="6" borderId="77" xfId="5" applyFont="1" applyFill="1" applyBorder="1" applyAlignment="1">
      <alignment horizontal="center" vertical="center" wrapText="1"/>
    </xf>
    <xf numFmtId="0" fontId="38" fillId="0" borderId="0" xfId="0" applyFont="1"/>
    <xf numFmtId="170" fontId="9" fillId="2" borderId="107" xfId="4" applyNumberFormat="1" applyFont="1" applyFill="1" applyBorder="1" applyAlignment="1">
      <alignment vertical="center"/>
    </xf>
    <xf numFmtId="39" fontId="9" fillId="2" borderId="109" xfId="4" applyNumberFormat="1" applyFont="1" applyFill="1" applyBorder="1" applyAlignment="1">
      <alignment horizontal="center" vertical="center"/>
    </xf>
    <xf numFmtId="39" fontId="9" fillId="2" borderId="109" xfId="4" applyNumberFormat="1" applyFont="1" applyFill="1" applyBorder="1" applyAlignment="1">
      <alignment vertical="center"/>
    </xf>
    <xf numFmtId="39" fontId="9" fillId="2" borderId="110" xfId="4" applyNumberFormat="1" applyFont="1" applyFill="1" applyBorder="1" applyAlignment="1">
      <alignment vertical="center"/>
    </xf>
    <xf numFmtId="170" fontId="9" fillId="2" borderId="115" xfId="4" applyNumberFormat="1" applyFont="1" applyFill="1" applyBorder="1" applyAlignment="1">
      <alignment vertical="center"/>
    </xf>
    <xf numFmtId="39" fontId="9" fillId="2" borderId="116" xfId="4" applyNumberFormat="1" applyFont="1" applyFill="1" applyBorder="1" applyAlignment="1">
      <alignment horizontal="center" vertical="center"/>
    </xf>
    <xf numFmtId="39" fontId="25" fillId="2" borderId="116" xfId="4" applyNumberFormat="1" applyFont="1" applyFill="1" applyBorder="1" applyAlignment="1">
      <alignment vertical="center"/>
    </xf>
    <xf numFmtId="39" fontId="9" fillId="2" borderId="117" xfId="4" applyNumberFormat="1" applyFont="1" applyFill="1" applyBorder="1" applyAlignment="1">
      <alignment vertical="center"/>
    </xf>
    <xf numFmtId="41" fontId="19" fillId="6" borderId="47" xfId="5" applyNumberFormat="1" applyFont="1" applyFill="1" applyBorder="1"/>
    <xf numFmtId="41" fontId="19" fillId="6" borderId="48" xfId="5" applyNumberFormat="1" applyFont="1" applyFill="1" applyBorder="1"/>
    <xf numFmtId="41" fontId="18" fillId="2" borderId="53" xfId="5" applyNumberFormat="1" applyFont="1" applyFill="1" applyBorder="1"/>
    <xf numFmtId="41" fontId="18" fillId="2" borderId="48" xfId="5" applyNumberFormat="1" applyFont="1" applyFill="1" applyBorder="1"/>
    <xf numFmtId="41" fontId="19" fillId="3" borderId="47" xfId="5" applyNumberFormat="1" applyFont="1" applyFill="1" applyBorder="1"/>
    <xf numFmtId="41" fontId="19" fillId="3" borderId="48" xfId="5" applyNumberFormat="1" applyFont="1" applyFill="1" applyBorder="1"/>
    <xf numFmtId="41" fontId="10" fillId="6" borderId="47" xfId="4" applyNumberFormat="1" applyFont="1" applyFill="1" applyBorder="1" applyAlignment="1">
      <alignment vertical="center"/>
    </xf>
    <xf numFmtId="41" fontId="10" fillId="6" borderId="48" xfId="4" applyNumberFormat="1" applyFont="1" applyFill="1" applyBorder="1" applyAlignment="1">
      <alignment vertical="center"/>
    </xf>
    <xf numFmtId="41" fontId="9" fillId="2" borderId="48" xfId="9" applyNumberFormat="1" applyFont="1" applyFill="1" applyBorder="1" applyAlignment="1">
      <alignment horizontal="left"/>
    </xf>
    <xf numFmtId="41" fontId="23" fillId="6" borderId="48" xfId="4" applyNumberFormat="1" applyFont="1" applyFill="1" applyBorder="1" applyAlignment="1">
      <alignment vertical="center"/>
    </xf>
    <xf numFmtId="41" fontId="9" fillId="3" borderId="48" xfId="4" applyNumberFormat="1" applyFont="1" applyFill="1" applyBorder="1" applyAlignment="1">
      <alignment vertical="center"/>
    </xf>
    <xf numFmtId="41" fontId="10" fillId="3" borderId="47" xfId="4" applyNumberFormat="1" applyFont="1" applyFill="1" applyBorder="1" applyAlignment="1">
      <alignment vertical="center"/>
    </xf>
    <xf numFmtId="41" fontId="10" fillId="3" borderId="48" xfId="4" applyNumberFormat="1" applyFont="1" applyFill="1" applyBorder="1" applyAlignment="1">
      <alignment vertical="center"/>
    </xf>
    <xf numFmtId="41" fontId="10" fillId="2" borderId="48" xfId="4" applyNumberFormat="1" applyFont="1" applyFill="1" applyBorder="1" applyAlignment="1">
      <alignment vertical="center"/>
    </xf>
    <xf numFmtId="41" fontId="10" fillId="2" borderId="60" xfId="9" applyNumberFormat="1" applyFont="1" applyFill="1" applyBorder="1" applyAlignment="1">
      <alignment vertical="center"/>
    </xf>
    <xf numFmtId="41" fontId="9" fillId="2" borderId="107" xfId="4" applyNumberFormat="1" applyFont="1" applyFill="1" applyBorder="1" applyAlignment="1">
      <alignment vertical="center"/>
    </xf>
    <xf numFmtId="41" fontId="9" fillId="2" borderId="108" xfId="4" applyNumberFormat="1" applyFont="1" applyFill="1" applyBorder="1" applyAlignment="1">
      <alignment vertical="center"/>
    </xf>
    <xf numFmtId="41" fontId="19" fillId="6" borderId="61" xfId="4" applyNumberFormat="1" applyFont="1" applyFill="1" applyBorder="1" applyAlignment="1" applyProtection="1">
      <alignment vertical="center"/>
      <protection locked="0"/>
    </xf>
    <xf numFmtId="41" fontId="20" fillId="6" borderId="60" xfId="4" applyNumberFormat="1" applyFont="1" applyFill="1" applyBorder="1" applyAlignment="1">
      <alignment vertical="center"/>
    </xf>
    <xf numFmtId="41" fontId="23" fillId="2" borderId="61" xfId="4" applyNumberFormat="1" applyFont="1" applyFill="1" applyBorder="1" applyAlignment="1">
      <alignment vertical="center"/>
    </xf>
    <xf numFmtId="41" fontId="9" fillId="2" borderId="60" xfId="4" applyNumberFormat="1" applyFont="1" applyFill="1" applyBorder="1" applyAlignment="1">
      <alignment vertical="center"/>
    </xf>
    <xf numFmtId="41" fontId="23" fillId="3" borderId="61" xfId="4" applyNumberFormat="1" applyFont="1" applyFill="1" applyBorder="1" applyAlignment="1" applyProtection="1">
      <alignment vertical="center"/>
      <protection locked="0"/>
    </xf>
    <xf numFmtId="41" fontId="18" fillId="3" borderId="60" xfId="4" applyNumberFormat="1" applyFont="1" applyFill="1" applyBorder="1" applyAlignment="1">
      <alignment vertical="center"/>
    </xf>
    <xf numFmtId="41" fontId="23" fillId="2" borderId="0" xfId="4" applyNumberFormat="1" applyFont="1" applyFill="1" applyAlignment="1">
      <alignment vertical="center"/>
    </xf>
    <xf numFmtId="41" fontId="19" fillId="3" borderId="61" xfId="4" applyNumberFormat="1" applyFont="1" applyFill="1" applyBorder="1" applyAlignment="1" applyProtection="1">
      <alignment vertical="center"/>
      <protection locked="0"/>
    </xf>
    <xf numFmtId="41" fontId="29" fillId="3" borderId="60" xfId="4" applyNumberFormat="1" applyFont="1" applyFill="1" applyBorder="1" applyAlignment="1">
      <alignment vertical="center"/>
    </xf>
    <xf numFmtId="41" fontId="9" fillId="2" borderId="114" xfId="4" applyNumberFormat="1" applyFont="1" applyFill="1" applyBorder="1" applyAlignment="1">
      <alignment vertical="center"/>
    </xf>
    <xf numFmtId="41" fontId="30" fillId="2" borderId="61" xfId="4" applyNumberFormat="1" applyFont="1" applyFill="1" applyBorder="1" applyAlignment="1" applyProtection="1">
      <alignment vertical="center"/>
      <protection locked="0"/>
    </xf>
    <xf numFmtId="41" fontId="18" fillId="2" borderId="60" xfId="4" applyNumberFormat="1" applyFont="1" applyFill="1" applyBorder="1" applyAlignment="1">
      <alignment vertical="center"/>
    </xf>
    <xf numFmtId="41" fontId="23" fillId="6" borderId="61" xfId="4" applyNumberFormat="1" applyFont="1" applyFill="1" applyBorder="1" applyAlignment="1" applyProtection="1">
      <alignment vertical="center"/>
      <protection locked="0"/>
    </xf>
    <xf numFmtId="41" fontId="18" fillId="6" borderId="60" xfId="4" applyNumberFormat="1" applyFont="1" applyFill="1" applyBorder="1" applyAlignment="1">
      <alignment vertical="center"/>
    </xf>
    <xf numFmtId="41" fontId="9" fillId="2" borderId="70" xfId="6" applyNumberFormat="1" applyFont="1" applyFill="1" applyBorder="1" applyAlignment="1">
      <alignment horizontal="left" vertical="center"/>
    </xf>
    <xf numFmtId="41" fontId="9" fillId="2" borderId="71" xfId="6" applyNumberFormat="1" applyFont="1" applyFill="1" applyBorder="1" applyAlignment="1">
      <alignment horizontal="left" vertical="center"/>
    </xf>
    <xf numFmtId="41" fontId="19" fillId="2" borderId="61" xfId="4" applyNumberFormat="1" applyFont="1" applyFill="1" applyBorder="1" applyAlignment="1" applyProtection="1">
      <alignment vertical="center"/>
      <protection locked="0"/>
    </xf>
    <xf numFmtId="41" fontId="23" fillId="2" borderId="70" xfId="6" applyNumberFormat="1" applyFont="1" applyFill="1" applyBorder="1" applyAlignment="1">
      <alignment horizontal="left" vertical="center"/>
    </xf>
    <xf numFmtId="39" fontId="9" fillId="2" borderId="126" xfId="4" applyNumberFormat="1" applyFont="1" applyFill="1" applyBorder="1" applyAlignment="1">
      <alignment vertical="center"/>
    </xf>
    <xf numFmtId="37" fontId="9" fillId="2" borderId="127" xfId="4" applyNumberFormat="1" applyFont="1" applyFill="1" applyBorder="1" applyAlignment="1">
      <alignment horizontal="center" vertical="center"/>
    </xf>
    <xf numFmtId="41" fontId="9" fillId="2" borderId="128" xfId="6" applyNumberFormat="1" applyFont="1" applyFill="1" applyBorder="1" applyAlignment="1">
      <alignment horizontal="left" vertical="center"/>
    </xf>
    <xf numFmtId="41" fontId="9" fillId="2" borderId="129" xfId="6" applyNumberFormat="1" applyFont="1" applyFill="1" applyBorder="1" applyAlignment="1">
      <alignment horizontal="left" vertical="center"/>
    </xf>
    <xf numFmtId="169" fontId="9" fillId="2" borderId="128" xfId="6" applyNumberFormat="1" applyFont="1" applyFill="1" applyBorder="1" applyAlignment="1">
      <alignment horizontal="right" vertical="center"/>
    </xf>
    <xf numFmtId="0" fontId="9" fillId="2" borderId="130" xfId="6" applyFont="1" applyFill="1" applyBorder="1" applyAlignment="1">
      <alignment horizontal="center" vertical="center"/>
    </xf>
    <xf numFmtId="39" fontId="9" fillId="2" borderId="129" xfId="6" applyNumberFormat="1" applyFont="1" applyFill="1" applyBorder="1" applyAlignment="1">
      <alignment vertical="center"/>
    </xf>
    <xf numFmtId="41" fontId="23" fillId="2" borderId="61" xfId="4" applyNumberFormat="1" applyFont="1" applyFill="1" applyBorder="1" applyAlignment="1" applyProtection="1">
      <alignment vertical="center"/>
      <protection locked="0"/>
    </xf>
    <xf numFmtId="37" fontId="9" fillId="2" borderId="121" xfId="4" applyNumberFormat="1" applyFont="1" applyFill="1" applyBorder="1" applyAlignment="1">
      <alignment horizontal="center" vertical="center"/>
    </xf>
    <xf numFmtId="41" fontId="9" fillId="2" borderId="122" xfId="6" applyNumberFormat="1" applyFont="1" applyFill="1" applyBorder="1" applyAlignment="1">
      <alignment vertical="center"/>
    </xf>
    <xf numFmtId="41" fontId="9" fillId="2" borderId="123" xfId="6" applyNumberFormat="1" applyFont="1" applyFill="1" applyBorder="1" applyAlignment="1">
      <alignment vertical="center"/>
    </xf>
    <xf numFmtId="169" fontId="22" fillId="2" borderId="122" xfId="6" applyNumberFormat="1" applyFont="1" applyFill="1" applyBorder="1" applyAlignment="1">
      <alignment horizontal="right" vertical="center"/>
    </xf>
    <xf numFmtId="39" fontId="9" fillId="2" borderId="124" xfId="4" applyNumberFormat="1" applyFont="1" applyFill="1" applyBorder="1" applyAlignment="1">
      <alignment horizontal="center" vertical="center"/>
    </xf>
    <xf numFmtId="39" fontId="22" fillId="2" borderId="123" xfId="6" applyNumberFormat="1" applyFont="1" applyFill="1" applyBorder="1" applyAlignment="1">
      <alignment vertical="center"/>
    </xf>
    <xf numFmtId="41" fontId="19" fillId="2" borderId="123" xfId="4" applyNumberFormat="1" applyFont="1" applyFill="1" applyBorder="1" applyAlignment="1" applyProtection="1">
      <alignment vertical="center"/>
      <protection locked="0"/>
    </xf>
    <xf numFmtId="41" fontId="20" fillId="2" borderId="123" xfId="4" applyNumberFormat="1" applyFont="1" applyFill="1" applyBorder="1" applyAlignment="1">
      <alignment vertical="center"/>
    </xf>
    <xf numFmtId="170" fontId="20" fillId="2" borderId="122" xfId="4" applyNumberFormat="1" applyFont="1" applyFill="1" applyBorder="1" applyAlignment="1">
      <alignment horizontal="right" vertical="center"/>
    </xf>
    <xf numFmtId="39" fontId="20" fillId="2" borderId="124" xfId="4" applyNumberFormat="1" applyFont="1" applyFill="1" applyBorder="1" applyAlignment="1">
      <alignment horizontal="center" vertical="center"/>
    </xf>
    <xf numFmtId="39" fontId="20" fillId="2" borderId="123" xfId="4" applyNumberFormat="1" applyFont="1" applyFill="1" applyBorder="1" applyAlignment="1">
      <alignment vertical="center"/>
    </xf>
    <xf numFmtId="41" fontId="9" fillId="2" borderId="134" xfId="6" applyNumberFormat="1" applyFont="1" applyFill="1" applyBorder="1" applyAlignment="1">
      <alignment horizontal="left" vertical="center"/>
    </xf>
    <xf numFmtId="169" fontId="9" fillId="2" borderId="135" xfId="6" applyNumberFormat="1" applyFont="1" applyFill="1" applyBorder="1" applyAlignment="1">
      <alignment horizontal="right" vertical="center"/>
    </xf>
    <xf numFmtId="0" fontId="9" fillId="2" borderId="136" xfId="6" applyFont="1" applyFill="1" applyBorder="1" applyAlignment="1">
      <alignment horizontal="center" vertical="center"/>
    </xf>
    <xf numFmtId="37" fontId="9" fillId="2" borderId="137" xfId="4" applyNumberFormat="1" applyFont="1" applyFill="1" applyBorder="1" applyAlignment="1">
      <alignment horizontal="center" vertical="center"/>
    </xf>
    <xf numFmtId="41" fontId="9" fillId="2" borderId="135" xfId="6" applyNumberFormat="1" applyFont="1" applyFill="1" applyBorder="1" applyAlignment="1">
      <alignment horizontal="left" vertical="center"/>
    </xf>
    <xf numFmtId="39" fontId="9" fillId="2" borderId="141" xfId="9" applyNumberFormat="1" applyFont="1" applyFill="1" applyBorder="1" applyAlignment="1">
      <alignment vertical="center"/>
    </xf>
    <xf numFmtId="39" fontId="9" fillId="2" borderId="142" xfId="0" applyNumberFormat="1" applyFont="1" applyFill="1" applyBorder="1" applyAlignment="1">
      <alignment vertical="center"/>
    </xf>
    <xf numFmtId="41" fontId="9" fillId="2" borderId="96" xfId="6" applyNumberFormat="1" applyFont="1" applyFill="1" applyBorder="1" applyAlignment="1">
      <alignment vertical="center"/>
    </xf>
    <xf numFmtId="37" fontId="18" fillId="2" borderId="94" xfId="0" applyNumberFormat="1" applyFont="1" applyFill="1" applyBorder="1" applyAlignment="1">
      <alignment horizontal="center" vertical="center"/>
    </xf>
    <xf numFmtId="41" fontId="9" fillId="2" borderId="18" xfId="0" applyNumberFormat="1" applyFont="1" applyFill="1" applyBorder="1" applyAlignment="1">
      <alignment vertical="center"/>
    </xf>
    <xf numFmtId="169" fontId="9" fillId="2" borderId="61" xfId="6" applyNumberFormat="1" applyFont="1" applyFill="1" applyBorder="1" applyAlignment="1">
      <alignment vertical="center"/>
    </xf>
    <xf numFmtId="39" fontId="9" fillId="2" borderId="154" xfId="9" applyNumberFormat="1" applyFont="1" applyFill="1" applyBorder="1" applyAlignment="1">
      <alignment vertical="center"/>
    </xf>
    <xf numFmtId="37" fontId="9" fillId="2" borderId="153" xfId="9" applyNumberFormat="1" applyFont="1" applyFill="1" applyBorder="1" applyAlignment="1">
      <alignment horizontal="center" vertical="center"/>
    </xf>
    <xf numFmtId="41" fontId="9" fillId="2" borderId="155" xfId="9" applyNumberFormat="1" applyFont="1" applyFill="1" applyBorder="1" applyAlignment="1">
      <alignment horizontal="left"/>
    </xf>
    <xf numFmtId="167" fontId="9" fillId="2" borderId="151" xfId="10" applyNumberFormat="1" applyFont="1" applyFill="1" applyBorder="1" applyAlignment="1" applyProtection="1">
      <alignment horizontal="right" vertical="center"/>
    </xf>
    <xf numFmtId="39" fontId="9" fillId="2" borderId="152" xfId="9" applyNumberFormat="1" applyFont="1" applyFill="1" applyBorder="1" applyAlignment="1">
      <alignment horizontal="center" vertical="center"/>
    </xf>
    <xf numFmtId="37" fontId="9" fillId="2" borderId="156" xfId="4" applyNumberFormat="1" applyFont="1" applyFill="1" applyBorder="1" applyAlignment="1">
      <alignment horizontal="center" vertical="center"/>
    </xf>
    <xf numFmtId="41" fontId="19" fillId="2" borderId="157" xfId="4" applyNumberFormat="1" applyFont="1" applyFill="1" applyBorder="1" applyAlignment="1" applyProtection="1">
      <alignment vertical="center"/>
      <protection locked="0"/>
    </xf>
    <xf numFmtId="41" fontId="9" fillId="2" borderId="158" xfId="4" applyNumberFormat="1" applyFont="1" applyFill="1" applyBorder="1" applyAlignment="1">
      <alignment vertical="center"/>
    </xf>
    <xf numFmtId="170" fontId="9" fillId="2" borderId="157" xfId="4" applyNumberFormat="1" applyFont="1" applyFill="1" applyBorder="1" applyAlignment="1">
      <alignment vertical="center"/>
    </xf>
    <xf numFmtId="39" fontId="9" fillId="2" borderId="159" xfId="4" applyNumberFormat="1" applyFont="1" applyFill="1" applyBorder="1" applyAlignment="1">
      <alignment horizontal="center" vertical="center"/>
    </xf>
    <xf numFmtId="39" fontId="25" fillId="2" borderId="158" xfId="4" applyNumberFormat="1" applyFont="1" applyFill="1" applyBorder="1" applyAlignment="1">
      <alignment vertical="center"/>
    </xf>
    <xf numFmtId="39" fontId="9" fillId="2" borderId="160" xfId="4" applyNumberFormat="1" applyFont="1" applyFill="1" applyBorder="1" applyAlignment="1">
      <alignment vertical="center"/>
    </xf>
    <xf numFmtId="37" fontId="9" fillId="2" borderId="153" xfId="4" applyNumberFormat="1" applyFont="1" applyFill="1" applyBorder="1" applyAlignment="1">
      <alignment horizontal="center" vertical="center"/>
    </xf>
    <xf numFmtId="41" fontId="9" fillId="2" borderId="162" xfId="4" applyNumberFormat="1" applyFont="1" applyFill="1" applyBorder="1" applyAlignment="1">
      <alignment vertical="center"/>
    </xf>
    <xf numFmtId="170" fontId="9" fillId="2" borderId="161" xfId="4" applyNumberFormat="1" applyFont="1" applyFill="1" applyBorder="1" applyAlignment="1">
      <alignment vertical="center"/>
    </xf>
    <xf numFmtId="39" fontId="9" fillId="2" borderId="163" xfId="4" applyNumberFormat="1" applyFont="1" applyFill="1" applyBorder="1" applyAlignment="1">
      <alignment horizontal="center" vertical="center"/>
    </xf>
    <xf numFmtId="39" fontId="25" fillId="2" borderId="163" xfId="4" applyNumberFormat="1" applyFont="1" applyFill="1" applyBorder="1" applyAlignment="1">
      <alignment vertical="center"/>
    </xf>
    <xf numFmtId="39" fontId="9" fillId="2" borderId="164" xfId="4" applyNumberFormat="1" applyFont="1" applyFill="1" applyBorder="1" applyAlignment="1">
      <alignment vertical="center"/>
    </xf>
    <xf numFmtId="39" fontId="13" fillId="0" borderId="23" xfId="4" applyNumberFormat="1" applyFont="1" applyBorder="1" applyAlignment="1">
      <alignment horizontal="center" vertical="center"/>
    </xf>
    <xf numFmtId="39" fontId="32" fillId="0" borderId="11" xfId="4" applyNumberFormat="1" applyFont="1" applyBorder="1" applyAlignment="1">
      <alignment horizontal="center" vertical="center"/>
    </xf>
    <xf numFmtId="39" fontId="32" fillId="0" borderId="11" xfId="4" applyNumberFormat="1" applyFont="1" applyBorder="1" applyAlignment="1">
      <alignment horizontal="left" vertical="center"/>
    </xf>
    <xf numFmtId="166" fontId="32" fillId="0" borderId="12" xfId="4" applyNumberFormat="1" applyFont="1" applyBorder="1" applyAlignment="1">
      <alignment horizontal="right" vertical="center"/>
    </xf>
    <xf numFmtId="39" fontId="32" fillId="0" borderId="79" xfId="5" applyFont="1" applyBorder="1" applyAlignment="1">
      <alignment horizontal="right" vertical="center"/>
    </xf>
    <xf numFmtId="168" fontId="9" fillId="2" borderId="54" xfId="6" applyNumberFormat="1" applyFont="1" applyFill="1" applyBorder="1" applyAlignment="1">
      <alignment horizontal="center" vertical="center"/>
    </xf>
    <xf numFmtId="41" fontId="9" fillId="2" borderId="8" xfId="7" applyNumberFormat="1" applyFont="1" applyFill="1" applyBorder="1" applyAlignment="1">
      <alignment vertical="center"/>
    </xf>
    <xf numFmtId="169" fontId="9" fillId="2" borderId="7" xfId="6" applyNumberFormat="1" applyFont="1" applyFill="1" applyBorder="1" applyAlignment="1">
      <alignment horizontal="right" vertical="center"/>
    </xf>
    <xf numFmtId="0" fontId="22" fillId="2" borderId="9" xfId="6" applyFont="1" applyFill="1" applyBorder="1" applyAlignment="1">
      <alignment horizontal="center" vertical="center"/>
    </xf>
    <xf numFmtId="39" fontId="9" fillId="2" borderId="10" xfId="6" applyNumberFormat="1" applyFont="1" applyFill="1" applyBorder="1" applyAlignment="1">
      <alignment vertical="center"/>
    </xf>
    <xf numFmtId="41" fontId="22" fillId="2" borderId="8" xfId="6" applyNumberFormat="1" applyFont="1" applyFill="1" applyBorder="1" applyAlignment="1">
      <alignment horizontal="left" vertical="center"/>
    </xf>
    <xf numFmtId="169" fontId="9" fillId="2" borderId="13" xfId="6" applyNumberFormat="1" applyFont="1" applyFill="1" applyBorder="1" applyAlignment="1">
      <alignment horizontal="right" vertical="center"/>
    </xf>
    <xf numFmtId="0" fontId="22" fillId="2" borderId="15" xfId="6" applyFont="1" applyFill="1" applyBorder="1" applyAlignment="1">
      <alignment horizontal="center" vertical="center"/>
    </xf>
    <xf numFmtId="39" fontId="9" fillId="2" borderId="16" xfId="6" applyNumberFormat="1" applyFont="1" applyFill="1" applyBorder="1" applyAlignment="1">
      <alignment vertical="center"/>
    </xf>
    <xf numFmtId="41" fontId="22" fillId="2" borderId="8" xfId="7" applyNumberFormat="1" applyFont="1" applyFill="1" applyBorder="1" applyAlignment="1">
      <alignment vertical="center"/>
    </xf>
    <xf numFmtId="41" fontId="22" fillId="2" borderId="14" xfId="7" applyNumberFormat="1" applyFont="1" applyFill="1" applyBorder="1" applyAlignment="1">
      <alignment vertical="center"/>
    </xf>
    <xf numFmtId="39" fontId="18" fillId="2" borderId="46" xfId="5" applyFont="1" applyFill="1" applyBorder="1" applyAlignment="1">
      <alignment horizontal="center"/>
    </xf>
    <xf numFmtId="41" fontId="18" fillId="2" borderId="47" xfId="5" applyNumberFormat="1" applyFont="1" applyFill="1" applyBorder="1"/>
    <xf numFmtId="41" fontId="10" fillId="2" borderId="53" xfId="5" applyNumberFormat="1" applyFont="1" applyFill="1" applyBorder="1"/>
    <xf numFmtId="41" fontId="9" fillId="2" borderId="55" xfId="8" applyNumberFormat="1" applyFont="1" applyFill="1" applyBorder="1" applyAlignment="1">
      <alignment vertical="center"/>
    </xf>
    <xf numFmtId="169" fontId="9" fillId="2" borderId="56" xfId="6" applyNumberFormat="1" applyFont="1" applyFill="1" applyBorder="1" applyAlignment="1">
      <alignment horizontal="right" vertical="center"/>
    </xf>
    <xf numFmtId="39" fontId="9" fillId="2" borderId="58" xfId="6" applyNumberFormat="1" applyFont="1" applyFill="1" applyBorder="1" applyAlignment="1">
      <alignment vertical="center"/>
    </xf>
    <xf numFmtId="0" fontId="9" fillId="2" borderId="57" xfId="6" applyFont="1" applyFill="1" applyBorder="1" applyAlignment="1">
      <alignment horizontal="center" vertical="center"/>
    </xf>
    <xf numFmtId="39" fontId="9" fillId="2" borderId="51" xfId="5" applyFont="1" applyFill="1" applyBorder="1" applyAlignment="1">
      <alignment vertical="center"/>
    </xf>
    <xf numFmtId="37" fontId="9" fillId="2" borderId="59" xfId="9" applyNumberFormat="1" applyFont="1" applyFill="1" applyBorder="1" applyAlignment="1">
      <alignment horizontal="center" vertical="center"/>
    </xf>
    <xf numFmtId="41" fontId="9" fillId="2" borderId="64" xfId="9" applyNumberFormat="1" applyFont="1" applyFill="1" applyBorder="1" applyAlignment="1">
      <alignment horizontal="left"/>
    </xf>
    <xf numFmtId="41" fontId="9" fillId="2" borderId="60" xfId="9" applyNumberFormat="1" applyFont="1" applyFill="1" applyBorder="1" applyAlignment="1">
      <alignment horizontal="left"/>
    </xf>
    <xf numFmtId="167" fontId="9" fillId="2" borderId="61" xfId="10" applyNumberFormat="1" applyFont="1" applyFill="1" applyBorder="1" applyAlignment="1" applyProtection="1">
      <alignment horizontal="right" vertical="center"/>
    </xf>
    <xf numFmtId="39" fontId="9" fillId="2" borderId="63" xfId="9" applyNumberFormat="1" applyFont="1" applyFill="1" applyBorder="1" applyAlignment="1">
      <alignment vertical="center"/>
    </xf>
    <xf numFmtId="41" fontId="10" fillId="2" borderId="61" xfId="4" applyNumberFormat="1" applyFont="1" applyFill="1" applyBorder="1" applyAlignment="1">
      <alignment vertical="center"/>
    </xf>
    <xf numFmtId="39" fontId="9" fillId="2" borderId="18" xfId="4" applyNumberFormat="1" applyFont="1" applyFill="1" applyBorder="1" applyAlignment="1">
      <alignment vertical="center"/>
    </xf>
    <xf numFmtId="41" fontId="9" fillId="2" borderId="61" xfId="4" applyNumberFormat="1" applyFont="1" applyFill="1" applyBorder="1" applyAlignment="1">
      <alignment vertical="center"/>
    </xf>
    <xf numFmtId="39" fontId="25" fillId="2" borderId="18" xfId="4" applyNumberFormat="1" applyFont="1" applyFill="1" applyBorder="1" applyAlignment="1">
      <alignment vertical="center"/>
    </xf>
    <xf numFmtId="41" fontId="9" fillId="2" borderId="61" xfId="6" applyNumberFormat="1" applyFont="1" applyFill="1" applyBorder="1" applyAlignment="1">
      <alignment vertical="center"/>
    </xf>
    <xf numFmtId="41" fontId="9" fillId="2" borderId="60" xfId="6" applyNumberFormat="1" applyFont="1" applyFill="1" applyBorder="1" applyAlignment="1">
      <alignment horizontal="left" vertical="center"/>
    </xf>
    <xf numFmtId="169" fontId="9" fillId="2" borderId="61" xfId="6" applyNumberFormat="1" applyFont="1" applyFill="1" applyBorder="1" applyAlignment="1">
      <alignment horizontal="right" vertical="center"/>
    </xf>
    <xf numFmtId="39" fontId="9" fillId="2" borderId="67" xfId="6" applyNumberFormat="1" applyFont="1" applyFill="1" applyBorder="1" applyAlignment="1">
      <alignment vertical="center"/>
    </xf>
    <xf numFmtId="37" fontId="2" fillId="2" borderId="66" xfId="4" applyNumberFormat="1" applyFont="1" applyFill="1" applyBorder="1" applyAlignment="1">
      <alignment horizontal="center" vertical="center"/>
    </xf>
    <xf numFmtId="37" fontId="9" fillId="2" borderId="66" xfId="4" applyNumberFormat="1" applyFont="1" applyFill="1" applyBorder="1" applyAlignment="1">
      <alignment horizontal="center" vertical="center"/>
    </xf>
    <xf numFmtId="41" fontId="9" fillId="2" borderId="61" xfId="6" applyNumberFormat="1" applyFont="1" applyFill="1" applyBorder="1" applyAlignment="1">
      <alignment horizontal="left" vertical="center"/>
    </xf>
    <xf numFmtId="39" fontId="9" fillId="2" borderId="60" xfId="6" applyNumberFormat="1" applyFont="1" applyFill="1" applyBorder="1" applyAlignment="1">
      <alignment vertical="center"/>
    </xf>
    <xf numFmtId="41" fontId="9" fillId="2" borderId="60" xfId="6" applyNumberFormat="1" applyFont="1" applyFill="1" applyBorder="1" applyAlignment="1">
      <alignment vertical="center"/>
    </xf>
    <xf numFmtId="0" fontId="22" fillId="2" borderId="62" xfId="6" applyFont="1" applyFill="1" applyBorder="1" applyAlignment="1">
      <alignment horizontal="center" vertical="center"/>
    </xf>
    <xf numFmtId="39" fontId="22" fillId="2" borderId="67" xfId="6" applyNumberFormat="1" applyFont="1" applyFill="1" applyBorder="1" applyAlignment="1">
      <alignment vertical="center"/>
    </xf>
    <xf numFmtId="39" fontId="22" fillId="2" borderId="60" xfId="6" applyNumberFormat="1" applyFont="1" applyFill="1" applyBorder="1" applyAlignment="1">
      <alignment vertical="center"/>
    </xf>
    <xf numFmtId="39" fontId="22" fillId="2" borderId="65" xfId="6" applyNumberFormat="1" applyFont="1" applyFill="1" applyBorder="1" applyAlignment="1">
      <alignment vertical="center"/>
    </xf>
    <xf numFmtId="41" fontId="23" fillId="2" borderId="60" xfId="4" applyNumberFormat="1" applyFont="1" applyFill="1" applyBorder="1" applyAlignment="1">
      <alignment vertical="center"/>
    </xf>
    <xf numFmtId="39" fontId="9" fillId="2" borderId="62" xfId="9" applyNumberFormat="1" applyFont="1" applyFill="1" applyBorder="1" applyAlignment="1">
      <alignment vertical="center"/>
    </xf>
    <xf numFmtId="39" fontId="22" fillId="2" borderId="68" xfId="6" applyNumberFormat="1" applyFont="1" applyFill="1" applyBorder="1" applyAlignment="1">
      <alignment vertical="center"/>
    </xf>
    <xf numFmtId="37" fontId="9" fillId="2" borderId="66" xfId="0" applyNumberFormat="1" applyFont="1" applyFill="1" applyBorder="1" applyAlignment="1">
      <alignment horizontal="center" vertical="center"/>
    </xf>
    <xf numFmtId="41" fontId="9" fillId="2" borderId="64" xfId="9" applyNumberFormat="1" applyFont="1" applyFill="1" applyBorder="1" applyAlignment="1">
      <alignment horizontal="left" vertical="center"/>
    </xf>
    <xf numFmtId="41" fontId="9" fillId="2" borderId="122" xfId="6" applyNumberFormat="1" applyFont="1" applyFill="1" applyBorder="1" applyAlignment="1">
      <alignment horizontal="left" vertical="center"/>
    </xf>
    <xf numFmtId="41" fontId="9" fillId="2" borderId="123" xfId="6" applyNumberFormat="1" applyFont="1" applyFill="1" applyBorder="1" applyAlignment="1">
      <alignment horizontal="left" vertical="center"/>
    </xf>
    <xf numFmtId="169" fontId="9" fillId="2" borderId="122" xfId="6" applyNumberFormat="1" applyFont="1" applyFill="1" applyBorder="1" applyAlignment="1">
      <alignment horizontal="right" vertical="center"/>
    </xf>
    <xf numFmtId="0" fontId="9" fillId="2" borderId="124" xfId="6" applyFont="1" applyFill="1" applyBorder="1" applyAlignment="1">
      <alignment horizontal="center" vertical="center"/>
    </xf>
    <xf numFmtId="39" fontId="9" fillId="2" borderId="125" xfId="6" applyNumberFormat="1" applyFont="1" applyFill="1" applyBorder="1" applyAlignment="1">
      <alignment vertical="center"/>
    </xf>
    <xf numFmtId="41" fontId="9" fillId="2" borderId="120" xfId="6" applyNumberFormat="1" applyFont="1" applyFill="1" applyBorder="1" applyAlignment="1">
      <alignment horizontal="left" vertical="center"/>
    </xf>
    <xf numFmtId="41" fontId="9" fillId="2" borderId="119" xfId="6" applyNumberFormat="1" applyFont="1" applyFill="1" applyBorder="1" applyAlignment="1">
      <alignment horizontal="left" vertical="center"/>
    </xf>
    <xf numFmtId="169" fontId="9" fillId="2" borderId="120" xfId="6" applyNumberFormat="1" applyFont="1" applyFill="1" applyBorder="1" applyAlignment="1">
      <alignment horizontal="right" vertical="center"/>
    </xf>
    <xf numFmtId="41" fontId="9" fillId="2" borderId="70" xfId="6" applyNumberFormat="1" applyFont="1" applyFill="1" applyBorder="1" applyAlignment="1">
      <alignment vertical="center"/>
    </xf>
    <xf numFmtId="41" fontId="9" fillId="2" borderId="48" xfId="6" applyNumberFormat="1" applyFont="1" applyFill="1" applyBorder="1" applyAlignment="1">
      <alignment horizontal="left" vertical="center"/>
    </xf>
    <xf numFmtId="39" fontId="22" fillId="2" borderId="89" xfId="6" applyNumberFormat="1" applyFont="1" applyFill="1" applyBorder="1" applyAlignment="1">
      <alignment vertical="center"/>
    </xf>
    <xf numFmtId="41" fontId="9" fillId="2" borderId="90" xfId="8" applyNumberFormat="1" applyFont="1" applyFill="1" applyBorder="1" applyAlignment="1">
      <alignment vertical="center"/>
    </xf>
    <xf numFmtId="41" fontId="9" fillId="2" borderId="61" xfId="4" applyNumberFormat="1" applyFont="1" applyFill="1" applyBorder="1" applyAlignment="1">
      <alignment horizontal="left" vertical="center"/>
    </xf>
    <xf numFmtId="41" fontId="9" fillId="2" borderId="60" xfId="4" applyNumberFormat="1" applyFont="1" applyFill="1" applyBorder="1" applyAlignment="1">
      <alignment horizontal="left" vertical="center"/>
    </xf>
    <xf numFmtId="41" fontId="9" fillId="2" borderId="60" xfId="9" applyNumberFormat="1" applyFont="1" applyFill="1" applyBorder="1" applyAlignment="1">
      <alignment horizontal="left" vertical="center"/>
    </xf>
    <xf numFmtId="41" fontId="20" fillId="2" borderId="60" xfId="4" applyNumberFormat="1" applyFont="1" applyFill="1" applyBorder="1" applyAlignment="1">
      <alignment vertical="center"/>
    </xf>
    <xf numFmtId="170" fontId="20" fillId="2" borderId="61" xfId="4" applyNumberFormat="1" applyFont="1" applyFill="1" applyBorder="1" applyAlignment="1">
      <alignment horizontal="right" vertical="center"/>
    </xf>
    <xf numFmtId="39" fontId="20" fillId="2" borderId="62" xfId="4" applyNumberFormat="1" applyFont="1" applyFill="1" applyBorder="1" applyAlignment="1">
      <alignment horizontal="center" vertical="center"/>
    </xf>
    <xf numFmtId="39" fontId="20" fillId="2" borderId="60" xfId="4" applyNumberFormat="1" applyFont="1" applyFill="1" applyBorder="1" applyAlignment="1">
      <alignment vertical="center"/>
    </xf>
    <xf numFmtId="39" fontId="22" fillId="2" borderId="63" xfId="6" applyNumberFormat="1" applyFont="1" applyFill="1" applyBorder="1" applyAlignment="1">
      <alignment vertical="center"/>
    </xf>
    <xf numFmtId="37" fontId="9" fillId="2" borderId="94" xfId="0" applyNumberFormat="1" applyFont="1" applyFill="1" applyBorder="1" applyAlignment="1">
      <alignment horizontal="center" vertical="center"/>
    </xf>
    <xf numFmtId="170" fontId="9" fillId="2" borderId="61" xfId="0" applyNumberFormat="1" applyFont="1" applyFill="1" applyBorder="1" applyAlignment="1">
      <alignment vertical="center"/>
    </xf>
    <xf numFmtId="39" fontId="9" fillId="2" borderId="62" xfId="0" applyNumberFormat="1" applyFont="1" applyFill="1" applyBorder="1" applyAlignment="1">
      <alignment horizontal="center" vertical="center"/>
    </xf>
    <xf numFmtId="41" fontId="9" fillId="2" borderId="61" xfId="0" applyNumberFormat="1" applyFont="1" applyFill="1" applyBorder="1" applyAlignment="1">
      <alignment vertical="center"/>
    </xf>
    <xf numFmtId="41" fontId="9" fillId="2" borderId="60" xfId="0" applyNumberFormat="1" applyFont="1" applyFill="1" applyBorder="1" applyAlignment="1">
      <alignment vertical="center"/>
    </xf>
    <xf numFmtId="39" fontId="25" fillId="2" borderId="100" xfId="0" applyNumberFormat="1" applyFont="1" applyFill="1" applyBorder="1" applyAlignment="1">
      <alignment vertical="center"/>
    </xf>
    <xf numFmtId="41" fontId="9" fillId="2" borderId="99" xfId="9" applyNumberFormat="1" applyFont="1" applyFill="1" applyBorder="1" applyAlignment="1">
      <alignment horizontal="left"/>
    </xf>
    <xf numFmtId="39" fontId="9" fillId="2" borderId="100" xfId="9" applyNumberFormat="1" applyFont="1" applyFill="1" applyBorder="1" applyAlignment="1">
      <alignment vertical="center"/>
    </xf>
    <xf numFmtId="41" fontId="9" fillId="2" borderId="122" xfId="4" applyNumberFormat="1" applyFont="1" applyFill="1" applyBorder="1" applyAlignment="1">
      <alignment vertical="center"/>
    </xf>
    <xf numFmtId="41" fontId="9" fillId="2" borderId="123" xfId="4" applyNumberFormat="1" applyFont="1" applyFill="1" applyBorder="1" applyAlignment="1">
      <alignment vertical="center"/>
    </xf>
    <xf numFmtId="170" fontId="9" fillId="2" borderId="122" xfId="4" applyNumberFormat="1" applyFont="1" applyFill="1" applyBorder="1" applyAlignment="1">
      <alignment vertical="center"/>
    </xf>
    <xf numFmtId="39" fontId="9" fillId="2" borderId="101" xfId="4" applyNumberFormat="1" applyFont="1" applyFill="1" applyBorder="1" applyAlignment="1">
      <alignment vertical="center"/>
    </xf>
    <xf numFmtId="39" fontId="9" fillId="2" borderId="101" xfId="6" applyNumberFormat="1" applyFont="1" applyFill="1" applyBorder="1" applyAlignment="1">
      <alignment vertical="center"/>
    </xf>
    <xf numFmtId="168" fontId="9" fillId="2" borderId="21" xfId="6" applyNumberFormat="1" applyFont="1" applyFill="1" applyBorder="1" applyAlignment="1">
      <alignment horizontal="center" vertical="center"/>
    </xf>
    <xf numFmtId="169" fontId="22" fillId="2" borderId="138" xfId="6" applyNumberFormat="1" applyFont="1" applyFill="1" applyBorder="1" applyAlignment="1">
      <alignment vertical="center"/>
    </xf>
    <xf numFmtId="169" fontId="22" fillId="2" borderId="104" xfId="6" applyNumberFormat="1" applyFont="1" applyFill="1" applyBorder="1" applyAlignment="1">
      <alignment vertical="center"/>
    </xf>
    <xf numFmtId="169" fontId="22" fillId="2" borderId="138" xfId="6" applyNumberFormat="1" applyFont="1" applyFill="1" applyBorder="1" applyAlignment="1">
      <alignment horizontal="center" vertical="center"/>
    </xf>
    <xf numFmtId="172" fontId="22" fillId="2" borderId="104" xfId="6" applyNumberFormat="1" applyFont="1" applyFill="1" applyBorder="1" applyAlignment="1">
      <alignment vertical="center"/>
    </xf>
    <xf numFmtId="169" fontId="22" fillId="2" borderId="104" xfId="6" applyNumberFormat="1" applyFont="1" applyFill="1" applyBorder="1" applyAlignment="1">
      <alignment horizontal="left" vertical="center"/>
    </xf>
    <xf numFmtId="0" fontId="9" fillId="2" borderId="140" xfId="6" applyFont="1" applyFill="1" applyBorder="1" applyAlignment="1">
      <alignment horizontal="left" vertical="center"/>
    </xf>
    <xf numFmtId="169" fontId="9" fillId="2" borderId="118" xfId="6" applyNumberFormat="1" applyFont="1" applyFill="1" applyBorder="1" applyAlignment="1">
      <alignment horizontal="right" vertical="center"/>
    </xf>
    <xf numFmtId="39" fontId="9" fillId="2" borderId="145" xfId="9" applyNumberFormat="1" applyFont="1" applyFill="1" applyBorder="1" applyAlignment="1">
      <alignment vertical="center"/>
    </xf>
    <xf numFmtId="41" fontId="9" fillId="2" borderId="139" xfId="0" applyNumberFormat="1" applyFont="1" applyFill="1" applyBorder="1" applyAlignment="1">
      <alignment horizontal="left" vertical="center"/>
    </xf>
    <xf numFmtId="41" fontId="9" fillId="2" borderId="140" xfId="0" applyNumberFormat="1" applyFont="1" applyFill="1" applyBorder="1" applyAlignment="1">
      <alignment horizontal="left" vertical="center"/>
    </xf>
    <xf numFmtId="41" fontId="9" fillId="2" borderId="146" xfId="0" applyNumberFormat="1" applyFont="1" applyFill="1" applyBorder="1" applyAlignment="1">
      <alignment horizontal="left" vertical="center"/>
    </xf>
    <xf numFmtId="169" fontId="9" fillId="2" borderId="147" xfId="6" applyNumberFormat="1" applyFont="1" applyFill="1" applyBorder="1" applyAlignment="1">
      <alignment horizontal="right" vertical="center"/>
    </xf>
    <xf numFmtId="41" fontId="9" fillId="2" borderId="139" xfId="0" applyNumberFormat="1" applyFont="1" applyFill="1" applyBorder="1" applyAlignment="1">
      <alignment vertical="center"/>
    </xf>
    <xf numFmtId="41" fontId="9" fillId="2" borderId="140" xfId="0" applyNumberFormat="1" applyFont="1" applyFill="1" applyBorder="1" applyAlignment="1">
      <alignment vertical="center"/>
    </xf>
    <xf numFmtId="168" fontId="2" fillId="2" borderId="21" xfId="6" applyNumberFormat="1" applyFont="1" applyFill="1" applyBorder="1" applyAlignment="1">
      <alignment horizontal="center" vertical="center"/>
    </xf>
    <xf numFmtId="41" fontId="6" fillId="2" borderId="139" xfId="9" applyNumberFormat="1" applyFont="1" applyFill="1" applyBorder="1" applyAlignment="1">
      <alignment vertical="center"/>
    </xf>
    <xf numFmtId="41" fontId="42" fillId="2" borderId="104" xfId="6" applyNumberFormat="1" applyFont="1" applyFill="1" applyBorder="1" applyAlignment="1">
      <alignment vertical="center"/>
    </xf>
    <xf numFmtId="173" fontId="41" fillId="2" borderId="138" xfId="6" applyNumberFormat="1" applyFont="1" applyFill="1" applyBorder="1" applyAlignment="1">
      <alignment vertical="center"/>
    </xf>
    <xf numFmtId="173" fontId="30" fillId="2" borderId="138" xfId="6" applyNumberFormat="1" applyFont="1" applyFill="1" applyBorder="1" applyAlignment="1">
      <alignment vertical="center"/>
    </xf>
    <xf numFmtId="41" fontId="9" fillId="2" borderId="139" xfId="20" applyNumberFormat="1" applyFont="1" applyFill="1" applyBorder="1" applyAlignment="1">
      <alignment horizontal="left" vertical="center"/>
    </xf>
    <xf numFmtId="41" fontId="22" fillId="2" borderId="104" xfId="6" applyNumberFormat="1" applyFont="1" applyFill="1" applyBorder="1" applyAlignment="1">
      <alignment vertical="center"/>
    </xf>
    <xf numFmtId="37" fontId="9" fillId="2" borderId="144" xfId="0" applyNumberFormat="1" applyFont="1" applyFill="1" applyBorder="1" applyAlignment="1">
      <alignment horizontal="center" vertical="center"/>
    </xf>
    <xf numFmtId="41" fontId="9" fillId="2" borderId="143" xfId="0" applyNumberFormat="1" applyFont="1" applyFill="1" applyBorder="1" applyAlignment="1">
      <alignment vertical="center"/>
    </xf>
    <xf numFmtId="41" fontId="9" fillId="2" borderId="166" xfId="0" applyNumberFormat="1" applyFont="1" applyFill="1" applyBorder="1" applyAlignment="1">
      <alignment vertical="center" wrapText="1"/>
    </xf>
    <xf numFmtId="37" fontId="9" fillId="2" borderId="94" xfId="9" applyNumberFormat="1" applyFont="1" applyFill="1" applyBorder="1" applyAlignment="1">
      <alignment horizontal="center" vertical="center"/>
    </xf>
    <xf numFmtId="41" fontId="9" fillId="2" borderId="139" xfId="0" quotePrefix="1" applyNumberFormat="1" applyFont="1" applyFill="1" applyBorder="1" applyAlignment="1">
      <alignment vertical="center"/>
    </xf>
    <xf numFmtId="0" fontId="9" fillId="2" borderId="140" xfId="0" applyFont="1" applyFill="1" applyBorder="1" applyAlignment="1">
      <alignment horizontal="left"/>
    </xf>
    <xf numFmtId="0" fontId="9" fillId="2" borderId="140" xfId="9" applyFont="1" applyFill="1" applyBorder="1" applyAlignment="1">
      <alignment horizontal="left"/>
    </xf>
    <xf numFmtId="41" fontId="9" fillId="2" borderId="132" xfId="6" applyNumberFormat="1" applyFont="1" applyFill="1" applyBorder="1" applyAlignment="1">
      <alignment vertical="center"/>
    </xf>
    <xf numFmtId="0" fontId="9" fillId="2" borderId="96" xfId="6" applyFont="1" applyFill="1" applyBorder="1" applyAlignment="1">
      <alignment vertical="center"/>
    </xf>
    <xf numFmtId="173" fontId="9" fillId="2" borderId="149" xfId="6" applyNumberFormat="1" applyFont="1" applyFill="1" applyBorder="1" applyAlignment="1">
      <alignment vertical="center"/>
    </xf>
    <xf numFmtId="37" fontId="9" fillId="2" borderId="153" xfId="0" applyNumberFormat="1" applyFont="1" applyFill="1" applyBorder="1" applyAlignment="1">
      <alignment horizontal="center" vertical="center"/>
    </xf>
    <xf numFmtId="41" fontId="9" fillId="2" borderId="149" xfId="6" applyNumberFormat="1" applyFont="1" applyFill="1" applyBorder="1" applyAlignment="1">
      <alignment vertical="center"/>
    </xf>
    <xf numFmtId="41" fontId="9" fillId="2" borderId="150" xfId="6" applyNumberFormat="1" applyFont="1" applyFill="1" applyBorder="1" applyAlignment="1">
      <alignment vertical="center"/>
    </xf>
    <xf numFmtId="39" fontId="9" fillId="2" borderId="152" xfId="9" applyNumberFormat="1" applyFont="1" applyFill="1" applyBorder="1" applyAlignment="1">
      <alignment vertical="center"/>
    </xf>
    <xf numFmtId="170" fontId="9" fillId="2" borderId="168" xfId="4" applyNumberFormat="1" applyFont="1" applyFill="1" applyBorder="1" applyAlignment="1">
      <alignment vertical="center"/>
    </xf>
    <xf numFmtId="41" fontId="30" fillId="2" borderId="133" xfId="0" applyNumberFormat="1" applyFont="1" applyFill="1" applyBorder="1" applyAlignment="1">
      <alignment vertical="center"/>
    </xf>
    <xf numFmtId="41" fontId="30" fillId="2" borderId="104" xfId="6" applyNumberFormat="1" applyFont="1" applyFill="1" applyBorder="1" applyAlignment="1">
      <alignment vertical="center"/>
    </xf>
    <xf numFmtId="39" fontId="13" fillId="2" borderId="105" xfId="4" applyNumberFormat="1" applyFont="1" applyFill="1" applyBorder="1" applyAlignment="1">
      <alignment horizontal="center" vertical="center"/>
    </xf>
    <xf numFmtId="39" fontId="13" fillId="2" borderId="96" xfId="4" applyNumberFormat="1" applyFont="1" applyFill="1" applyBorder="1" applyAlignment="1">
      <alignment horizontal="left" vertical="center"/>
    </xf>
    <xf numFmtId="39" fontId="32" fillId="2" borderId="96" xfId="4" applyNumberFormat="1" applyFont="1" applyFill="1" applyBorder="1" applyAlignment="1">
      <alignment horizontal="left" vertical="center"/>
    </xf>
    <xf numFmtId="166" fontId="32" fillId="2" borderId="106" xfId="4" applyNumberFormat="1" applyFont="1" applyFill="1" applyBorder="1" applyAlignment="1">
      <alignment horizontal="right" vertical="center"/>
    </xf>
    <xf numFmtId="39" fontId="13" fillId="2" borderId="98" xfId="5" applyFont="1" applyFill="1" applyBorder="1" applyAlignment="1">
      <alignment horizontal="right" vertical="center"/>
    </xf>
    <xf numFmtId="41" fontId="10" fillId="2" borderId="60" xfId="4" applyNumberFormat="1" applyFont="1" applyFill="1" applyBorder="1" applyAlignment="1">
      <alignment vertical="center"/>
    </xf>
    <xf numFmtId="39" fontId="13" fillId="2" borderId="21" xfId="4" applyNumberFormat="1" applyFont="1" applyFill="1" applyBorder="1" applyAlignment="1">
      <alignment horizontal="center" vertical="center"/>
    </xf>
    <xf numFmtId="39" fontId="13" fillId="2" borderId="8" xfId="4" applyNumberFormat="1" applyFont="1" applyFill="1" applyBorder="1" applyAlignment="1">
      <alignment horizontal="left" vertical="center"/>
    </xf>
    <xf numFmtId="39" fontId="32" fillId="2" borderId="8" xfId="4" applyNumberFormat="1" applyFont="1" applyFill="1" applyBorder="1" applyAlignment="1">
      <alignment horizontal="left" vertical="center"/>
    </xf>
    <xf numFmtId="166" fontId="32" fillId="2" borderId="9" xfId="4" applyNumberFormat="1" applyFont="1" applyFill="1" applyBorder="1" applyAlignment="1">
      <alignment horizontal="right" vertical="center"/>
    </xf>
    <xf numFmtId="39" fontId="13" fillId="2" borderId="19" xfId="5" applyFont="1" applyFill="1" applyBorder="1" applyAlignment="1">
      <alignment horizontal="right" vertical="center"/>
    </xf>
    <xf numFmtId="39" fontId="19" fillId="2" borderId="8" xfId="4" applyNumberFormat="1" applyFont="1" applyFill="1" applyBorder="1" applyAlignment="1">
      <alignment horizontal="left" vertical="center"/>
    </xf>
    <xf numFmtId="39" fontId="13" fillId="2" borderId="7" xfId="4" applyNumberFormat="1" applyFont="1" applyFill="1" applyBorder="1" applyAlignment="1">
      <alignment vertical="center"/>
    </xf>
    <xf numFmtId="39" fontId="13" fillId="2" borderId="8" xfId="4" applyNumberFormat="1" applyFont="1" applyFill="1" applyBorder="1" applyAlignment="1">
      <alignment vertical="center"/>
    </xf>
    <xf numFmtId="166" fontId="13" fillId="2" borderId="9" xfId="4" applyNumberFormat="1" applyFont="1" applyFill="1" applyBorder="1" applyAlignment="1">
      <alignment horizontal="right" vertical="center"/>
    </xf>
    <xf numFmtId="166" fontId="32" fillId="2" borderId="91" xfId="4" applyNumberFormat="1" applyFont="1" applyFill="1" applyBorder="1" applyAlignment="1">
      <alignment horizontal="right" vertical="center"/>
    </xf>
    <xf numFmtId="39" fontId="13" fillId="2" borderId="95" xfId="4" applyNumberFormat="1" applyFont="1" applyFill="1" applyBorder="1" applyAlignment="1">
      <alignment horizontal="center" vertical="center"/>
    </xf>
    <xf numFmtId="166" fontId="32" fillId="2" borderId="97" xfId="4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165" fontId="43" fillId="0" borderId="0" xfId="21" applyFont="1" applyFill="1" applyBorder="1" applyAlignment="1">
      <alignment horizontal="center" vertical="center"/>
    </xf>
    <xf numFmtId="4" fontId="43" fillId="0" borderId="0" xfId="0" applyNumberFormat="1" applyFont="1" applyAlignment="1">
      <alignment vertical="center"/>
    </xf>
    <xf numFmtId="0" fontId="44" fillId="7" borderId="17" xfId="0" applyFont="1" applyFill="1" applyBorder="1" applyAlignment="1">
      <alignment horizontal="center" vertical="center" wrapText="1"/>
    </xf>
    <xf numFmtId="0" fontId="44" fillId="7" borderId="169" xfId="0" applyFont="1" applyFill="1" applyBorder="1" applyAlignment="1">
      <alignment horizontal="center" vertical="center" wrapText="1"/>
    </xf>
    <xf numFmtId="4" fontId="44" fillId="7" borderId="169" xfId="0" applyNumberFormat="1" applyFont="1" applyFill="1" applyBorder="1" applyAlignment="1">
      <alignment horizontal="center" vertical="center" wrapText="1"/>
    </xf>
    <xf numFmtId="4" fontId="44" fillId="7" borderId="17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left" vertical="center" wrapText="1"/>
    </xf>
    <xf numFmtId="1" fontId="44" fillId="2" borderId="2" xfId="21" applyNumberFormat="1" applyFont="1" applyFill="1" applyBorder="1" applyAlignment="1">
      <alignment horizontal="center" vertical="center"/>
    </xf>
    <xf numFmtId="1" fontId="44" fillId="2" borderId="111" xfId="21" applyNumberFormat="1" applyFont="1" applyFill="1" applyBorder="1" applyAlignment="1">
      <alignment horizontal="center" vertical="center"/>
    </xf>
    <xf numFmtId="3" fontId="44" fillId="2" borderId="0" xfId="0" applyNumberFormat="1" applyFont="1" applyFill="1" applyAlignment="1">
      <alignment horizontal="center" vertical="center"/>
    </xf>
    <xf numFmtId="3" fontId="44" fillId="2" borderId="4" xfId="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38" xfId="0" applyFont="1" applyBorder="1" applyAlignment="1">
      <alignment vertical="center"/>
    </xf>
    <xf numFmtId="165" fontId="43" fillId="0" borderId="138" xfId="21" applyFont="1" applyFill="1" applyBorder="1" applyAlignment="1">
      <alignment horizontal="center" vertical="center"/>
    </xf>
    <xf numFmtId="0" fontId="43" fillId="0" borderId="171" xfId="0" applyFont="1" applyBorder="1" applyAlignment="1">
      <alignment horizontal="center" vertical="center"/>
    </xf>
    <xf numFmtId="3" fontId="43" fillId="0" borderId="138" xfId="21" applyNumberFormat="1" applyFont="1" applyFill="1" applyBorder="1" applyAlignment="1">
      <alignment vertical="center"/>
    </xf>
    <xf numFmtId="3" fontId="43" fillId="0" borderId="10" xfId="0" applyNumberFormat="1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right" vertical="center"/>
    </xf>
    <xf numFmtId="0" fontId="43" fillId="0" borderId="138" xfId="0" applyFont="1" applyBorder="1" applyAlignment="1">
      <alignment vertical="center"/>
    </xf>
    <xf numFmtId="165" fontId="43" fillId="0" borderId="138" xfId="21" applyFont="1" applyBorder="1" applyAlignment="1">
      <alignment horizontal="center" vertical="center"/>
    </xf>
    <xf numFmtId="3" fontId="46" fillId="0" borderId="10" xfId="21" applyNumberFormat="1" applyFont="1" applyFill="1" applyBorder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3" fontId="43" fillId="0" borderId="10" xfId="21" applyNumberFormat="1" applyFont="1" applyFill="1" applyBorder="1" applyAlignment="1">
      <alignment vertical="center"/>
    </xf>
    <xf numFmtId="0" fontId="43" fillId="0" borderId="138" xfId="0" quotePrefix="1" applyFont="1" applyBorder="1" applyAlignment="1">
      <alignment vertical="center"/>
    </xf>
    <xf numFmtId="0" fontId="43" fillId="0" borderId="131" xfId="0" applyFont="1" applyBorder="1" applyAlignment="1">
      <alignment vertical="center"/>
    </xf>
    <xf numFmtId="0" fontId="43" fillId="2" borderId="10" xfId="0" applyFont="1" applyFill="1" applyBorder="1" applyAlignment="1">
      <alignment horizontal="right" vertical="center"/>
    </xf>
    <xf numFmtId="0" fontId="43" fillId="2" borderId="138" xfId="0" quotePrefix="1" applyFont="1" applyFill="1" applyBorder="1" applyAlignment="1">
      <alignment vertical="center"/>
    </xf>
    <xf numFmtId="165" fontId="43" fillId="2" borderId="138" xfId="21" applyFont="1" applyFill="1" applyBorder="1" applyAlignment="1">
      <alignment horizontal="center" vertical="center"/>
    </xf>
    <xf numFmtId="0" fontId="43" fillId="2" borderId="171" xfId="0" applyFont="1" applyFill="1" applyBorder="1" applyAlignment="1">
      <alignment horizontal="center" vertical="center"/>
    </xf>
    <xf numFmtId="3" fontId="43" fillId="2" borderId="10" xfId="21" applyNumberFormat="1" applyFont="1" applyFill="1" applyBorder="1" applyAlignment="1">
      <alignment vertical="center"/>
    </xf>
    <xf numFmtId="3" fontId="43" fillId="2" borderId="10" xfId="0" applyNumberFormat="1" applyFont="1" applyFill="1" applyBorder="1" applyAlignment="1">
      <alignment vertical="center"/>
    </xf>
    <xf numFmtId="0" fontId="44" fillId="0" borderId="132" xfId="0" applyFont="1" applyBorder="1" applyAlignment="1">
      <alignment vertical="center"/>
    </xf>
    <xf numFmtId="3" fontId="43" fillId="0" borderId="138" xfId="21" applyNumberFormat="1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0" fontId="43" fillId="2" borderId="138" xfId="0" applyFont="1" applyFill="1" applyBorder="1" applyAlignment="1">
      <alignment vertical="center"/>
    </xf>
    <xf numFmtId="0" fontId="43" fillId="0" borderId="131" xfId="22" applyFont="1" applyBorder="1" applyAlignment="1">
      <alignment horizontal="center" vertical="center"/>
    </xf>
    <xf numFmtId="0" fontId="43" fillId="0" borderId="132" xfId="23" applyFont="1" applyBorder="1" applyAlignment="1">
      <alignment vertical="center"/>
    </xf>
    <xf numFmtId="4" fontId="43" fillId="0" borderId="132" xfId="0" applyNumberFormat="1" applyFont="1" applyBorder="1" applyAlignment="1">
      <alignment horizontal="center" vertical="center"/>
    </xf>
    <xf numFmtId="174" fontId="43" fillId="0" borderId="96" xfId="21" applyNumberFormat="1" applyFont="1" applyBorder="1" applyAlignment="1">
      <alignment horizontal="center" vertical="center"/>
    </xf>
    <xf numFmtId="3" fontId="43" fillId="0" borderId="131" xfId="21" applyNumberFormat="1" applyFont="1" applyFill="1" applyBorder="1" applyAlignment="1">
      <alignment vertical="center"/>
    </xf>
    <xf numFmtId="3" fontId="43" fillId="0" borderId="131" xfId="0" applyNumberFormat="1" applyFont="1" applyBorder="1" applyAlignment="1">
      <alignment vertical="center"/>
    </xf>
    <xf numFmtId="0" fontId="43" fillId="0" borderId="112" xfId="0" applyFont="1" applyBorder="1" applyAlignment="1">
      <alignment horizontal="center" vertical="center"/>
    </xf>
    <xf numFmtId="4" fontId="44" fillId="0" borderId="1" xfId="0" applyNumberFormat="1" applyFont="1" applyBorder="1" applyAlignment="1">
      <alignment vertical="center"/>
    </xf>
    <xf numFmtId="165" fontId="43" fillId="0" borderId="0" xfId="21" applyFont="1" applyFill="1" applyAlignment="1">
      <alignment horizontal="center" vertical="center"/>
    </xf>
    <xf numFmtId="0" fontId="43" fillId="0" borderId="0" xfId="0" applyFont="1"/>
    <xf numFmtId="0" fontId="47" fillId="0" borderId="0" xfId="0" applyFont="1"/>
    <xf numFmtId="0" fontId="48" fillId="0" borderId="0" xfId="0" applyFont="1"/>
    <xf numFmtId="0" fontId="43" fillId="2" borderId="0" xfId="0" applyFont="1" applyFill="1" applyAlignment="1">
      <alignment horizontal="right"/>
    </xf>
    <xf numFmtId="0" fontId="43" fillId="2" borderId="0" xfId="0" applyFont="1" applyFill="1"/>
    <xf numFmtId="175" fontId="43" fillId="2" borderId="0" xfId="24" applyNumberFormat="1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3" fontId="43" fillId="2" borderId="0" xfId="0" applyNumberFormat="1" applyFont="1" applyFill="1"/>
    <xf numFmtId="0" fontId="44" fillId="7" borderId="17" xfId="0" applyFont="1" applyFill="1" applyBorder="1" applyAlignment="1">
      <alignment horizontal="right" wrapText="1"/>
    </xf>
    <xf numFmtId="0" fontId="44" fillId="7" borderId="17" xfId="0" applyFont="1" applyFill="1" applyBorder="1" applyAlignment="1">
      <alignment horizontal="center" wrapText="1"/>
    </xf>
    <xf numFmtId="3" fontId="44" fillId="7" borderId="17" xfId="0" applyNumberFormat="1" applyFont="1" applyFill="1" applyBorder="1" applyAlignment="1">
      <alignment horizontal="center" wrapText="1"/>
    </xf>
    <xf numFmtId="0" fontId="43" fillId="2" borderId="0" xfId="0" applyFont="1" applyFill="1" applyAlignment="1">
      <alignment wrapText="1"/>
    </xf>
    <xf numFmtId="0" fontId="44" fillId="2" borderId="4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left" wrapText="1"/>
    </xf>
    <xf numFmtId="1" fontId="44" fillId="2" borderId="2" xfId="24" applyNumberFormat="1" applyFont="1" applyFill="1" applyBorder="1" applyAlignment="1">
      <alignment horizontal="center"/>
    </xf>
    <xf numFmtId="1" fontId="44" fillId="2" borderId="111" xfId="24" applyNumberFormat="1" applyFont="1" applyFill="1" applyBorder="1" applyAlignment="1">
      <alignment horizontal="center"/>
    </xf>
    <xf numFmtId="3" fontId="44" fillId="2" borderId="0" xfId="0" applyNumberFormat="1" applyFont="1" applyFill="1" applyAlignment="1">
      <alignment horizontal="center"/>
    </xf>
    <xf numFmtId="3" fontId="44" fillId="2" borderId="4" xfId="0" applyNumberFormat="1" applyFont="1" applyFill="1" applyBorder="1" applyAlignment="1">
      <alignment horizontal="center"/>
    </xf>
    <xf numFmtId="0" fontId="44" fillId="2" borderId="10" xfId="0" applyFont="1" applyFill="1" applyBorder="1" applyAlignment="1">
      <alignment horizontal="right"/>
    </xf>
    <xf numFmtId="0" fontId="44" fillId="2" borderId="10" xfId="0" applyFont="1" applyFill="1" applyBorder="1"/>
    <xf numFmtId="175" fontId="43" fillId="2" borderId="138" xfId="24" applyNumberFormat="1" applyFont="1" applyFill="1" applyBorder="1" applyAlignment="1">
      <alignment horizontal="center"/>
    </xf>
    <xf numFmtId="0" fontId="43" fillId="2" borderId="171" xfId="0" applyFont="1" applyFill="1" applyBorder="1" applyAlignment="1">
      <alignment horizontal="center"/>
    </xf>
    <xf numFmtId="3" fontId="43" fillId="2" borderId="10" xfId="0" applyNumberFormat="1" applyFont="1" applyFill="1" applyBorder="1"/>
    <xf numFmtId="3" fontId="43" fillId="2" borderId="10" xfId="24" applyNumberFormat="1" applyFont="1" applyFill="1" applyBorder="1" applyAlignment="1"/>
    <xf numFmtId="0" fontId="43" fillId="2" borderId="10" xfId="0" applyFont="1" applyFill="1" applyBorder="1" applyAlignment="1">
      <alignment horizontal="right"/>
    </xf>
    <xf numFmtId="0" fontId="43" fillId="2" borderId="10" xfId="0" applyFont="1" applyFill="1" applyBorder="1"/>
    <xf numFmtId="0" fontId="43" fillId="2" borderId="10" xfId="0" quotePrefix="1" applyFont="1" applyFill="1" applyBorder="1"/>
    <xf numFmtId="0" fontId="49" fillId="2" borderId="0" xfId="0" applyFont="1" applyFill="1"/>
    <xf numFmtId="0" fontId="43" fillId="2" borderId="96" xfId="0" applyFont="1" applyFill="1" applyBorder="1"/>
    <xf numFmtId="0" fontId="43" fillId="2" borderId="96" xfId="0" applyFont="1" applyFill="1" applyBorder="1" applyAlignment="1">
      <alignment horizontal="center"/>
    </xf>
    <xf numFmtId="3" fontId="43" fillId="2" borderId="131" xfId="24" applyNumberFormat="1" applyFont="1" applyFill="1" applyBorder="1" applyAlignment="1"/>
    <xf numFmtId="3" fontId="43" fillId="2" borderId="131" xfId="0" applyNumberFormat="1" applyFont="1" applyFill="1" applyBorder="1"/>
    <xf numFmtId="0" fontId="43" fillId="2" borderId="131" xfId="0" applyFont="1" applyFill="1" applyBorder="1" applyAlignment="1">
      <alignment horizontal="right"/>
    </xf>
    <xf numFmtId="0" fontId="43" fillId="2" borderId="1" xfId="0" applyFont="1" applyFill="1" applyBorder="1" applyAlignment="1">
      <alignment horizontal="right"/>
    </xf>
    <xf numFmtId="0" fontId="43" fillId="2" borderId="172" xfId="0" applyFont="1" applyFill="1" applyBorder="1"/>
    <xf numFmtId="175" fontId="44" fillId="2" borderId="172" xfId="0" applyNumberFormat="1" applyFont="1" applyFill="1" applyBorder="1"/>
    <xf numFmtId="0" fontId="44" fillId="2" borderId="172" xfId="0" applyFont="1" applyFill="1" applyBorder="1"/>
    <xf numFmtId="3" fontId="44" fillId="2" borderId="172" xfId="0" applyNumberFormat="1" applyFont="1" applyFill="1" applyBorder="1" applyAlignment="1">
      <alignment horizontal="right"/>
    </xf>
    <xf numFmtId="3" fontId="44" fillId="2" borderId="1" xfId="0" applyNumberFormat="1" applyFont="1" applyFill="1" applyBorder="1"/>
    <xf numFmtId="0" fontId="43" fillId="2" borderId="16" xfId="0" applyFont="1" applyFill="1" applyBorder="1" applyAlignment="1">
      <alignment horizontal="right"/>
    </xf>
    <xf numFmtId="0" fontId="43" fillId="2" borderId="16" xfId="0" applyFont="1" applyFill="1" applyBorder="1"/>
    <xf numFmtId="0" fontId="44" fillId="2" borderId="15" xfId="0" applyFont="1" applyFill="1" applyBorder="1"/>
    <xf numFmtId="3" fontId="44" fillId="2" borderId="16" xfId="0" applyNumberFormat="1" applyFont="1" applyFill="1" applyBorder="1" applyAlignment="1">
      <alignment horizontal="right"/>
    </xf>
    <xf numFmtId="3" fontId="44" fillId="2" borderId="16" xfId="0" applyNumberFormat="1" applyFont="1" applyFill="1" applyBorder="1"/>
    <xf numFmtId="0" fontId="43" fillId="2" borderId="10" xfId="0" applyFont="1" applyFill="1" applyBorder="1" applyAlignment="1">
      <alignment horizontal="left"/>
    </xf>
    <xf numFmtId="0" fontId="44" fillId="2" borderId="150" xfId="0" applyFont="1" applyFill="1" applyBorder="1"/>
    <xf numFmtId="3" fontId="44" fillId="2" borderId="96" xfId="0" applyNumberFormat="1" applyFont="1" applyFill="1" applyBorder="1" applyAlignment="1">
      <alignment horizontal="right"/>
    </xf>
    <xf numFmtId="3" fontId="44" fillId="2" borderId="131" xfId="0" applyNumberFormat="1" applyFont="1" applyFill="1" applyBorder="1"/>
    <xf numFmtId="0" fontId="43" fillId="2" borderId="104" xfId="0" applyFont="1" applyFill="1" applyBorder="1"/>
    <xf numFmtId="3" fontId="43" fillId="2" borderId="138" xfId="24" applyNumberFormat="1" applyFont="1" applyFill="1" applyBorder="1" applyAlignment="1"/>
    <xf numFmtId="0" fontId="43" fillId="2" borderId="131" xfId="0" applyFont="1" applyFill="1" applyBorder="1"/>
    <xf numFmtId="0" fontId="43" fillId="2" borderId="150" xfId="0" applyFont="1" applyFill="1" applyBorder="1" applyAlignment="1">
      <alignment horizontal="center"/>
    </xf>
    <xf numFmtId="0" fontId="44" fillId="2" borderId="112" xfId="0" applyFont="1" applyFill="1" applyBorder="1"/>
    <xf numFmtId="3" fontId="44" fillId="2" borderId="112" xfId="0" applyNumberFormat="1" applyFont="1" applyFill="1" applyBorder="1" applyAlignment="1">
      <alignment horizontal="right"/>
    </xf>
    <xf numFmtId="0" fontId="43" fillId="2" borderId="4" xfId="0" applyFont="1" applyFill="1" applyBorder="1" applyAlignment="1">
      <alignment horizontal="right"/>
    </xf>
    <xf numFmtId="0" fontId="44" fillId="2" borderId="0" xfId="0" applyFont="1" applyFill="1"/>
    <xf numFmtId="175" fontId="44" fillId="2" borderId="3" xfId="0" applyNumberFormat="1" applyFont="1" applyFill="1" applyBorder="1"/>
    <xf numFmtId="0" fontId="44" fillId="2" borderId="92" xfId="0" applyFont="1" applyFill="1" applyBorder="1"/>
    <xf numFmtId="3" fontId="44" fillId="2" borderId="4" xfId="0" applyNumberFormat="1" applyFont="1" applyFill="1" applyBorder="1" applyAlignment="1">
      <alignment horizontal="right"/>
    </xf>
    <xf numFmtId="3" fontId="44" fillId="2" borderId="4" xfId="0" applyNumberFormat="1" applyFont="1" applyFill="1" applyBorder="1"/>
    <xf numFmtId="0" fontId="43" fillId="2" borderId="112" xfId="0" applyFont="1" applyFill="1" applyBorder="1" applyAlignment="1">
      <alignment horizontal="right"/>
    </xf>
    <xf numFmtId="0" fontId="43" fillId="2" borderId="112" xfId="0" applyFont="1" applyFill="1" applyBorder="1"/>
    <xf numFmtId="3" fontId="44" fillId="2" borderId="113" xfId="0" applyNumberFormat="1" applyFont="1" applyFill="1" applyBorder="1" applyAlignment="1">
      <alignment horizontal="right"/>
    </xf>
    <xf numFmtId="175" fontId="43" fillId="2" borderId="0" xfId="24" applyNumberFormat="1" applyFont="1" applyFill="1" applyAlignment="1">
      <alignment horizontal="center"/>
    </xf>
    <xf numFmtId="0" fontId="51" fillId="0" borderId="0" xfId="0" applyFont="1"/>
    <xf numFmtId="0" fontId="48" fillId="0" borderId="0" xfId="0" applyFont="1" applyAlignment="1">
      <alignment horizontal="center"/>
    </xf>
    <xf numFmtId="0" fontId="47" fillId="0" borderId="1" xfId="0" applyFont="1" applyBorder="1" applyAlignment="1">
      <alignment horizontal="center"/>
    </xf>
    <xf numFmtId="165" fontId="47" fillId="0" borderId="1" xfId="0" applyNumberFormat="1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6" xfId="0" applyFont="1" applyBorder="1"/>
    <xf numFmtId="166" fontId="35" fillId="0" borderId="15" xfId="0" applyNumberFormat="1" applyFont="1" applyBorder="1"/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166" fontId="35" fillId="0" borderId="171" xfId="0" applyNumberFormat="1" applyFont="1" applyBorder="1"/>
    <xf numFmtId="0" fontId="35" fillId="0" borderId="173" xfId="0" applyFont="1" applyBorder="1" applyAlignment="1">
      <alignment horizontal="center"/>
    </xf>
    <xf numFmtId="0" fontId="35" fillId="0" borderId="173" xfId="0" applyFont="1" applyBorder="1"/>
    <xf numFmtId="166" fontId="35" fillId="0" borderId="174" xfId="0" applyNumberFormat="1" applyFont="1" applyBorder="1"/>
    <xf numFmtId="0" fontId="35" fillId="8" borderId="1" xfId="0" applyFont="1" applyFill="1" applyBorder="1" applyAlignment="1">
      <alignment horizontal="center"/>
    </xf>
    <xf numFmtId="0" fontId="48" fillId="8" borderId="1" xfId="0" applyFont="1" applyFill="1" applyBorder="1" applyAlignment="1">
      <alignment horizontal="right"/>
    </xf>
    <xf numFmtId="166" fontId="48" fillId="8" borderId="1" xfId="0" applyNumberFormat="1" applyFont="1" applyFill="1" applyBorder="1"/>
    <xf numFmtId="176" fontId="51" fillId="0" borderId="0" xfId="0" applyNumberFormat="1" applyFont="1"/>
    <xf numFmtId="39" fontId="9" fillId="2" borderId="177" xfId="4" applyNumberFormat="1" applyFont="1" applyFill="1" applyBorder="1" applyAlignment="1">
      <alignment horizontal="center" vertical="center"/>
    </xf>
    <xf numFmtId="39" fontId="9" fillId="2" borderId="176" xfId="4" applyNumberFormat="1" applyFont="1" applyFill="1" applyBorder="1" applyAlignment="1">
      <alignment vertical="center"/>
    </xf>
    <xf numFmtId="41" fontId="9" fillId="2" borderId="175" xfId="6" applyNumberFormat="1" applyFont="1" applyFill="1" applyBorder="1" applyAlignment="1">
      <alignment vertical="center"/>
    </xf>
    <xf numFmtId="41" fontId="9" fillId="2" borderId="176" xfId="6" applyNumberFormat="1" applyFont="1" applyFill="1" applyBorder="1" applyAlignment="1">
      <alignment vertical="center"/>
    </xf>
    <xf numFmtId="169" fontId="22" fillId="2" borderId="175" xfId="6" applyNumberFormat="1" applyFont="1" applyFill="1" applyBorder="1" applyAlignment="1">
      <alignment horizontal="right" vertical="center"/>
    </xf>
    <xf numFmtId="0" fontId="22" fillId="2" borderId="177" xfId="6" applyFont="1" applyFill="1" applyBorder="1" applyAlignment="1">
      <alignment horizontal="center" vertical="center"/>
    </xf>
    <xf numFmtId="41" fontId="9" fillId="2" borderId="176" xfId="6" applyNumberFormat="1" applyFont="1" applyFill="1" applyBorder="1" applyAlignment="1">
      <alignment horizontal="left" vertical="center"/>
    </xf>
    <xf numFmtId="39" fontId="11" fillId="0" borderId="0" xfId="5" applyFont="1"/>
    <xf numFmtId="39" fontId="11" fillId="0" borderId="0" xfId="5" applyFont="1" applyAlignment="1">
      <alignment vertical="center"/>
    </xf>
    <xf numFmtId="39" fontId="11" fillId="0" borderId="0" xfId="4" applyNumberFormat="1" applyFont="1" applyAlignment="1">
      <alignment vertical="center"/>
    </xf>
    <xf numFmtId="171" fontId="11" fillId="0" borderId="0" xfId="4" applyNumberFormat="1" applyFont="1" applyAlignment="1">
      <alignment vertical="center"/>
    </xf>
    <xf numFmtId="165" fontId="43" fillId="2" borderId="138" xfId="24" applyFont="1" applyFill="1" applyBorder="1" applyAlignment="1">
      <alignment horizontal="center"/>
    </xf>
    <xf numFmtId="165" fontId="43" fillId="2" borderId="132" xfId="24" applyFont="1" applyFill="1" applyBorder="1" applyAlignment="1">
      <alignment horizontal="center"/>
    </xf>
    <xf numFmtId="165" fontId="44" fillId="2" borderId="172" xfId="0" applyNumberFormat="1" applyFont="1" applyFill="1" applyBorder="1"/>
    <xf numFmtId="165" fontId="44" fillId="2" borderId="13" xfId="0" applyNumberFormat="1" applyFont="1" applyFill="1" applyBorder="1"/>
    <xf numFmtId="165" fontId="44" fillId="2" borderId="132" xfId="0" applyNumberFormat="1" applyFont="1" applyFill="1" applyBorder="1"/>
    <xf numFmtId="39" fontId="2" fillId="0" borderId="0" xfId="4" applyNumberFormat="1" applyFont="1" applyAlignment="1">
      <alignment vertical="center"/>
    </xf>
    <xf numFmtId="39" fontId="2" fillId="0" borderId="52" xfId="4" applyNumberFormat="1" applyFont="1" applyBorder="1" applyAlignment="1">
      <alignment vertical="center"/>
    </xf>
    <xf numFmtId="39" fontId="9" fillId="0" borderId="67" xfId="6" applyNumberFormat="1" applyFont="1" applyBorder="1" applyAlignment="1">
      <alignment vertical="center"/>
    </xf>
    <xf numFmtId="39" fontId="25" fillId="0" borderId="18" xfId="4" applyNumberFormat="1" applyFont="1" applyBorder="1" applyAlignment="1">
      <alignment vertical="center"/>
    </xf>
    <xf numFmtId="39" fontId="9" fillId="2" borderId="154" xfId="4" applyNumberFormat="1" applyFont="1" applyFill="1" applyBorder="1" applyAlignment="1">
      <alignment vertical="center"/>
    </xf>
    <xf numFmtId="39" fontId="25" fillId="2" borderId="154" xfId="4" applyNumberFormat="1" applyFont="1" applyFill="1" applyBorder="1" applyAlignment="1">
      <alignment vertical="center"/>
    </xf>
    <xf numFmtId="39" fontId="9" fillId="2" borderId="178" xfId="6" applyNumberFormat="1" applyFont="1" applyFill="1" applyBorder="1" applyAlignment="1">
      <alignment vertical="center"/>
    </xf>
    <xf numFmtId="39" fontId="9" fillId="2" borderId="179" xfId="6" applyNumberFormat="1" applyFont="1" applyFill="1" applyBorder="1" applyAlignment="1">
      <alignment vertical="center"/>
    </xf>
    <xf numFmtId="39" fontId="9" fillId="2" borderId="180" xfId="4" applyNumberFormat="1" applyFont="1" applyFill="1" applyBorder="1" applyAlignment="1">
      <alignment vertical="center"/>
    </xf>
    <xf numFmtId="39" fontId="20" fillId="6" borderId="180" xfId="4" applyNumberFormat="1" applyFont="1" applyFill="1" applyBorder="1" applyAlignment="1">
      <alignment vertical="center"/>
    </xf>
    <xf numFmtId="39" fontId="25" fillId="2" borderId="179" xfId="4" applyNumberFormat="1" applyFont="1" applyFill="1" applyBorder="1" applyAlignment="1">
      <alignment vertical="center"/>
    </xf>
    <xf numFmtId="39" fontId="22" fillId="2" borderId="178" xfId="6" applyNumberFormat="1" applyFont="1" applyFill="1" applyBorder="1" applyAlignment="1">
      <alignment vertical="center"/>
    </xf>
    <xf numFmtId="39" fontId="22" fillId="2" borderId="179" xfId="6" applyNumberFormat="1" applyFont="1" applyFill="1" applyBorder="1" applyAlignment="1">
      <alignment vertical="center"/>
    </xf>
    <xf numFmtId="39" fontId="25" fillId="2" borderId="180" xfId="4" applyNumberFormat="1" applyFont="1" applyFill="1" applyBorder="1" applyAlignment="1">
      <alignment vertical="center"/>
    </xf>
    <xf numFmtId="39" fontId="18" fillId="3" borderId="180" xfId="4" applyNumberFormat="1" applyFont="1" applyFill="1" applyBorder="1" applyAlignment="1">
      <alignment vertical="center"/>
    </xf>
    <xf numFmtId="39" fontId="29" fillId="3" borderId="180" xfId="4" applyNumberFormat="1" applyFont="1" applyFill="1" applyBorder="1" applyAlignment="1">
      <alignment vertical="center"/>
    </xf>
    <xf numFmtId="39" fontId="9" fillId="2" borderId="180" xfId="9" applyNumberFormat="1" applyFont="1" applyFill="1" applyBorder="1" applyAlignment="1">
      <alignment vertical="center"/>
    </xf>
    <xf numFmtId="39" fontId="18" fillId="2" borderId="179" xfId="4" applyNumberFormat="1" applyFont="1" applyFill="1" applyBorder="1" applyAlignment="1">
      <alignment vertical="center"/>
    </xf>
    <xf numFmtId="39" fontId="9" fillId="2" borderId="181" xfId="6" applyNumberFormat="1" applyFont="1" applyFill="1" applyBorder="1" applyAlignment="1">
      <alignment vertical="center"/>
    </xf>
    <xf numFmtId="39" fontId="9" fillId="2" borderId="179" xfId="4" applyNumberFormat="1" applyFont="1" applyFill="1" applyBorder="1" applyAlignment="1">
      <alignment vertical="center"/>
    </xf>
    <xf numFmtId="39" fontId="18" fillId="6" borderId="180" xfId="4" applyNumberFormat="1" applyFont="1" applyFill="1" applyBorder="1" applyAlignment="1">
      <alignment vertical="center"/>
    </xf>
    <xf numFmtId="39" fontId="9" fillId="2" borderId="182" xfId="6" applyNumberFormat="1" applyFont="1" applyFill="1" applyBorder="1" applyAlignment="1">
      <alignment vertical="center"/>
    </xf>
    <xf numFmtId="39" fontId="20" fillId="2" borderId="179" xfId="4" applyNumberFormat="1" applyFont="1" applyFill="1" applyBorder="1" applyAlignment="1">
      <alignment vertical="center"/>
    </xf>
    <xf numFmtId="39" fontId="9" fillId="2" borderId="18" xfId="0" applyNumberFormat="1" applyFont="1" applyFill="1" applyBorder="1" applyAlignment="1">
      <alignment vertical="center"/>
    </xf>
    <xf numFmtId="39" fontId="25" fillId="2" borderId="18" xfId="0" applyNumberFormat="1" applyFont="1" applyFill="1" applyBorder="1" applyAlignment="1">
      <alignment vertical="center"/>
    </xf>
    <xf numFmtId="39" fontId="9" fillId="2" borderId="0" xfId="6" applyNumberFormat="1" applyFont="1" applyFill="1" applyAlignment="1">
      <alignment vertical="center"/>
    </xf>
    <xf numFmtId="39" fontId="9" fillId="2" borderId="0" xfId="5" applyFont="1" applyFill="1"/>
    <xf numFmtId="39" fontId="21" fillId="3" borderId="0" xfId="5" applyFont="1" applyFill="1"/>
    <xf numFmtId="39" fontId="9" fillId="6" borderId="0" xfId="4" applyNumberFormat="1" applyFont="1" applyFill="1" applyAlignment="1">
      <alignment vertical="center"/>
    </xf>
    <xf numFmtId="39" fontId="9" fillId="2" borderId="0" xfId="9" applyNumberFormat="1" applyFont="1" applyFill="1" applyAlignment="1">
      <alignment vertical="center"/>
    </xf>
    <xf numFmtId="39" fontId="9" fillId="3" borderId="0" xfId="4" applyNumberFormat="1" applyFont="1" applyFill="1" applyAlignment="1">
      <alignment vertical="center"/>
    </xf>
    <xf numFmtId="39" fontId="9" fillId="2" borderId="0" xfId="4" applyNumberFormat="1" applyFont="1" applyFill="1" applyAlignment="1">
      <alignment vertical="center"/>
    </xf>
    <xf numFmtId="39" fontId="25" fillId="2" borderId="0" xfId="4" applyNumberFormat="1" applyFont="1" applyFill="1" applyAlignment="1">
      <alignment vertical="center"/>
    </xf>
    <xf numFmtId="39" fontId="20" fillId="6" borderId="0" xfId="4" applyNumberFormat="1" applyFont="1" applyFill="1" applyAlignment="1">
      <alignment vertical="center"/>
    </xf>
    <xf numFmtId="39" fontId="22" fillId="2" borderId="0" xfId="6" applyNumberFormat="1" applyFont="1" applyFill="1" applyAlignment="1">
      <alignment vertical="center"/>
    </xf>
    <xf numFmtId="39" fontId="18" fillId="3" borderId="0" xfId="4" applyNumberFormat="1" applyFont="1" applyFill="1" applyAlignment="1">
      <alignment vertical="center"/>
    </xf>
    <xf numFmtId="39" fontId="18" fillId="2" borderId="0" xfId="4" applyNumberFormat="1" applyFont="1" applyFill="1" applyAlignment="1">
      <alignment vertical="center"/>
    </xf>
    <xf numFmtId="39" fontId="21" fillId="6" borderId="0" xfId="5" applyFont="1" applyFill="1"/>
    <xf numFmtId="39" fontId="18" fillId="6" borderId="0" xfId="4" applyNumberFormat="1" applyFont="1" applyFill="1" applyAlignment="1">
      <alignment vertical="center"/>
    </xf>
    <xf numFmtId="39" fontId="20" fillId="2" borderId="0" xfId="4" applyNumberFormat="1" applyFont="1" applyFill="1" applyAlignment="1">
      <alignment vertical="center"/>
    </xf>
    <xf numFmtId="39" fontId="9" fillId="9" borderId="0" xfId="6" applyNumberFormat="1" applyFont="1" applyFill="1" applyAlignment="1">
      <alignment vertical="center"/>
    </xf>
    <xf numFmtId="39" fontId="9" fillId="10" borderId="0" xfId="6" applyNumberFormat="1" applyFont="1" applyFill="1" applyAlignment="1">
      <alignment vertical="center"/>
    </xf>
    <xf numFmtId="39" fontId="23" fillId="6" borderId="75" xfId="5" applyFont="1" applyFill="1" applyBorder="1" applyAlignment="1">
      <alignment horizontal="center" vertical="center" wrapText="1"/>
    </xf>
    <xf numFmtId="39" fontId="23" fillId="6" borderId="76" xfId="5" applyFont="1" applyFill="1" applyBorder="1" applyAlignment="1">
      <alignment horizontal="center" vertical="center" wrapText="1"/>
    </xf>
    <xf numFmtId="39" fontId="32" fillId="0" borderId="86" xfId="5" applyFont="1" applyBorder="1" applyAlignment="1">
      <alignment horizontal="left" wrapText="1" shrinkToFit="1"/>
    </xf>
    <xf numFmtId="39" fontId="32" fillId="0" borderId="87" xfId="5" applyFont="1" applyBorder="1" applyAlignment="1">
      <alignment horizontal="left" wrapText="1" shrinkToFit="1"/>
    </xf>
    <xf numFmtId="39" fontId="32" fillId="0" borderId="88" xfId="5" applyFont="1" applyBorder="1" applyAlignment="1">
      <alignment horizontal="left" wrapText="1" shrinkToFit="1"/>
    </xf>
    <xf numFmtId="41" fontId="9" fillId="2" borderId="148" xfId="0" applyNumberFormat="1" applyFont="1" applyFill="1" applyBorder="1" applyAlignment="1">
      <alignment horizontal="left" vertical="center" wrapText="1"/>
    </xf>
    <xf numFmtId="41" fontId="9" fillId="2" borderId="146" xfId="0" applyNumberFormat="1" applyFont="1" applyFill="1" applyBorder="1" applyAlignment="1">
      <alignment horizontal="left" vertical="center" wrapText="1"/>
    </xf>
    <xf numFmtId="41" fontId="9" fillId="2" borderId="167" xfId="0" applyNumberFormat="1" applyFont="1" applyFill="1" applyBorder="1" applyAlignment="1">
      <alignment horizontal="left" vertical="center" wrapText="1"/>
    </xf>
    <xf numFmtId="41" fontId="9" fillId="2" borderId="165" xfId="0" applyNumberFormat="1" applyFont="1" applyFill="1" applyBorder="1" applyAlignment="1">
      <alignment horizontal="left" vertical="center" wrapText="1"/>
    </xf>
    <xf numFmtId="41" fontId="9" fillId="2" borderId="61" xfId="6" applyNumberFormat="1" applyFont="1" applyFill="1" applyBorder="1" applyAlignment="1">
      <alignment horizontal="left" vertical="center"/>
    </xf>
    <xf numFmtId="41" fontId="9" fillId="2" borderId="60" xfId="6" applyNumberFormat="1" applyFont="1" applyFill="1" applyBorder="1" applyAlignment="1">
      <alignment horizontal="left" vertical="center"/>
    </xf>
    <xf numFmtId="41" fontId="9" fillId="2" borderId="122" xfId="0" applyNumberFormat="1" applyFont="1" applyFill="1" applyBorder="1" applyAlignment="1">
      <alignment horizontal="left" vertical="center" wrapText="1"/>
    </xf>
    <xf numFmtId="41" fontId="9" fillId="2" borderId="124" xfId="0" applyNumberFormat="1" applyFont="1" applyFill="1" applyBorder="1" applyAlignment="1">
      <alignment horizontal="left" vertical="center" wrapText="1"/>
    </xf>
    <xf numFmtId="0" fontId="10" fillId="4" borderId="25" xfId="5" applyNumberFormat="1" applyFont="1" applyFill="1" applyBorder="1" applyAlignment="1">
      <alignment horizontal="center" vertical="center" wrapText="1"/>
    </xf>
    <xf numFmtId="0" fontId="10" fillId="4" borderId="30" xfId="5" applyNumberFormat="1" applyFont="1" applyFill="1" applyBorder="1" applyAlignment="1">
      <alignment horizontal="center" vertical="center" wrapText="1"/>
    </xf>
    <xf numFmtId="0" fontId="10" fillId="4" borderId="35" xfId="5" applyNumberFormat="1" applyFont="1" applyFill="1" applyBorder="1" applyAlignment="1">
      <alignment horizontal="center" vertical="center" wrapText="1"/>
    </xf>
    <xf numFmtId="0" fontId="10" fillId="4" borderId="26" xfId="5" applyNumberFormat="1" applyFont="1" applyFill="1" applyBorder="1" applyAlignment="1">
      <alignment horizontal="center" vertical="center" wrapText="1"/>
    </xf>
    <xf numFmtId="0" fontId="10" fillId="4" borderId="27" xfId="5" applyNumberFormat="1" applyFont="1" applyFill="1" applyBorder="1" applyAlignment="1">
      <alignment horizontal="center" vertical="center" wrapText="1"/>
    </xf>
    <xf numFmtId="0" fontId="10" fillId="4" borderId="31" xfId="5" applyNumberFormat="1" applyFont="1" applyFill="1" applyBorder="1" applyAlignment="1">
      <alignment horizontal="center" vertical="center" wrapText="1"/>
    </xf>
    <xf numFmtId="0" fontId="10" fillId="4" borderId="32" xfId="5" applyNumberFormat="1" applyFont="1" applyFill="1" applyBorder="1" applyAlignment="1">
      <alignment horizontal="center" vertical="center" wrapText="1"/>
    </xf>
    <xf numFmtId="0" fontId="10" fillId="4" borderId="36" xfId="5" applyNumberFormat="1" applyFont="1" applyFill="1" applyBorder="1" applyAlignment="1">
      <alignment horizontal="center" vertical="center" wrapText="1"/>
    </xf>
    <xf numFmtId="0" fontId="10" fillId="4" borderId="37" xfId="5" applyNumberFormat="1" applyFont="1" applyFill="1" applyBorder="1" applyAlignment="1">
      <alignment horizontal="center" vertical="center" wrapText="1"/>
    </xf>
    <xf numFmtId="0" fontId="10" fillId="4" borderId="28" xfId="5" applyNumberFormat="1" applyFont="1" applyFill="1" applyBorder="1" applyAlignment="1">
      <alignment horizontal="center" vertical="center" wrapText="1"/>
    </xf>
    <xf numFmtId="0" fontId="10" fillId="4" borderId="33" xfId="5" applyNumberFormat="1" applyFont="1" applyFill="1" applyBorder="1" applyAlignment="1">
      <alignment horizontal="center" vertical="center" wrapText="1"/>
    </xf>
    <xf numFmtId="0" fontId="10" fillId="4" borderId="38" xfId="5" applyNumberFormat="1" applyFont="1" applyFill="1" applyBorder="1" applyAlignment="1">
      <alignment horizontal="center" vertical="center" wrapText="1"/>
    </xf>
    <xf numFmtId="0" fontId="10" fillId="4" borderId="29" xfId="5" applyNumberFormat="1" applyFont="1" applyFill="1" applyBorder="1" applyAlignment="1">
      <alignment horizontal="center" vertical="center" wrapText="1"/>
    </xf>
    <xf numFmtId="0" fontId="10" fillId="4" borderId="34" xfId="5" applyNumberFormat="1" applyFont="1" applyFill="1" applyBorder="1" applyAlignment="1">
      <alignment horizontal="center" vertical="center" wrapText="1"/>
    </xf>
    <xf numFmtId="0" fontId="10" fillId="4" borderId="39" xfId="5" applyNumberFormat="1" applyFont="1" applyFill="1" applyBorder="1" applyAlignment="1">
      <alignment horizontal="center" vertical="center" wrapText="1"/>
    </xf>
    <xf numFmtId="41" fontId="9" fillId="2" borderId="62" xfId="6" applyNumberFormat="1" applyFont="1" applyFill="1" applyBorder="1" applyAlignment="1">
      <alignment horizontal="left" vertical="center"/>
    </xf>
    <xf numFmtId="41" fontId="9" fillId="2" borderId="102" xfId="8" applyNumberFormat="1" applyFont="1" applyFill="1" applyBorder="1" applyAlignment="1">
      <alignment horizontal="left" vertical="center" wrapText="1"/>
    </xf>
    <xf numFmtId="41" fontId="9" fillId="2" borderId="103" xfId="8" applyNumberFormat="1" applyFont="1" applyFill="1" applyBorder="1" applyAlignment="1">
      <alignment horizontal="left" vertical="center" wrapText="1"/>
    </xf>
    <xf numFmtId="41" fontId="9" fillId="2" borderId="102" xfId="8" quotePrefix="1" applyNumberFormat="1" applyFont="1" applyFill="1" applyBorder="1" applyAlignment="1">
      <alignment horizontal="left" vertical="center" wrapText="1"/>
    </xf>
    <xf numFmtId="41" fontId="10" fillId="2" borderId="102" xfId="8" applyNumberFormat="1" applyFont="1" applyFill="1" applyBorder="1" applyAlignment="1">
      <alignment horizontal="left" vertical="center" wrapText="1"/>
    </xf>
    <xf numFmtId="41" fontId="10" fillId="2" borderId="103" xfId="8" applyNumberFormat="1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175" fontId="44" fillId="7" borderId="169" xfId="24" applyNumberFormat="1" applyFont="1" applyFill="1" applyBorder="1" applyAlignment="1">
      <alignment horizontal="center" wrapText="1"/>
    </xf>
    <xf numFmtId="175" fontId="44" fillId="7" borderId="170" xfId="24" applyNumberFormat="1" applyFont="1" applyFill="1" applyBorder="1" applyAlignment="1">
      <alignment horizontal="center" wrapText="1"/>
    </xf>
    <xf numFmtId="165" fontId="44" fillId="7" borderId="169" xfId="21" applyFont="1" applyFill="1" applyBorder="1" applyAlignment="1">
      <alignment horizontal="center" vertical="center" wrapText="1"/>
    </xf>
    <xf numFmtId="165" fontId="44" fillId="7" borderId="170" xfId="21" applyFont="1" applyFill="1" applyBorder="1" applyAlignment="1">
      <alignment horizontal="center" vertical="center" wrapText="1"/>
    </xf>
    <xf numFmtId="0" fontId="43" fillId="0" borderId="131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4" fontId="44" fillId="0" borderId="112" xfId="0" applyNumberFormat="1" applyFont="1" applyBorder="1" applyAlignment="1">
      <alignment horizontal="right" vertical="center"/>
    </xf>
    <xf numFmtId="4" fontId="44" fillId="0" borderId="172" xfId="0" applyNumberFormat="1" applyFont="1" applyBorder="1" applyAlignment="1">
      <alignment horizontal="right" vertical="center"/>
    </xf>
    <xf numFmtId="4" fontId="44" fillId="0" borderId="113" xfId="0" applyNumberFormat="1" applyFont="1" applyBorder="1" applyAlignment="1">
      <alignment horizontal="right" vertical="center"/>
    </xf>
    <xf numFmtId="39" fontId="16" fillId="0" borderId="183" xfId="5" applyFont="1" applyBorder="1" applyAlignment="1">
      <alignment horizontal="center" vertical="center"/>
    </xf>
    <xf numFmtId="39" fontId="16" fillId="0" borderId="0" xfId="5" applyFont="1" applyBorder="1" applyAlignment="1">
      <alignment horizontal="center" vertical="center"/>
    </xf>
    <xf numFmtId="39" fontId="16" fillId="0" borderId="0" xfId="14" applyFont="1" applyBorder="1" applyAlignment="1">
      <alignment horizontal="right" vertical="center"/>
    </xf>
    <xf numFmtId="39" fontId="16" fillId="0" borderId="184" xfId="5" applyFont="1" applyBorder="1" applyAlignment="1">
      <alignment vertical="center"/>
    </xf>
    <xf numFmtId="39" fontId="36" fillId="0" borderId="0" xfId="11" applyNumberFormat="1" applyFont="1" applyAlignment="1">
      <alignment horizontal="center" vertical="center"/>
    </xf>
    <xf numFmtId="39" fontId="12" fillId="0" borderId="0" xfId="11" applyNumberFormat="1" applyFont="1" applyAlignment="1">
      <alignment horizontal="center" vertical="center"/>
    </xf>
  </cellXfs>
  <cellStyles count="26">
    <cellStyle name="Comma [0] 2" xfId="3" xr:uid="{00000000-0005-0000-0000-000000000000}"/>
    <cellStyle name="Comma [0] 3" xfId="25" xr:uid="{00000000-0005-0000-0000-000001000000}"/>
    <cellStyle name="Comma [0] 4" xfId="10" xr:uid="{00000000-0005-0000-0000-000002000000}"/>
    <cellStyle name="Comma 12" xfId="19" xr:uid="{00000000-0005-0000-0000-000003000000}"/>
    <cellStyle name="Comma 2" xfId="18" xr:uid="{00000000-0005-0000-0000-000004000000}"/>
    <cellStyle name="Comma 2 10" xfId="2" xr:uid="{00000000-0005-0000-0000-000005000000}"/>
    <cellStyle name="Comma 2 2" xfId="24" xr:uid="{00000000-0005-0000-0000-000006000000}"/>
    <cellStyle name="Comma 3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2 10" xfId="20" xr:uid="{00000000-0005-0000-0000-00000B000000}"/>
    <cellStyle name="Normal 2 2 2" xfId="13" xr:uid="{00000000-0005-0000-0000-00000C000000}"/>
    <cellStyle name="Normal 2 2 3" xfId="16" xr:uid="{00000000-0005-0000-0000-00000D000000}"/>
    <cellStyle name="Normal 3" xfId="4" xr:uid="{00000000-0005-0000-0000-00000E000000}"/>
    <cellStyle name="Normal 3 2" xfId="17" xr:uid="{00000000-0005-0000-0000-00000F000000}"/>
    <cellStyle name="Normal 6" xfId="15" xr:uid="{00000000-0005-0000-0000-000010000000}"/>
    <cellStyle name="Normal 7 12" xfId="9" xr:uid="{00000000-0005-0000-0000-000011000000}"/>
    <cellStyle name="Normal_ARSITEKTUR (DENGAN PPN)" xfId="12" xr:uid="{00000000-0005-0000-0000-000012000000}"/>
    <cellStyle name="Normal_KANWIL BPN PROP DIY SNI " xfId="11" xr:uid="{00000000-0005-0000-0000-000013000000}"/>
    <cellStyle name="Normal_Laporan mingguan" xfId="8" xr:uid="{00000000-0005-0000-0000-000014000000}"/>
    <cellStyle name="Normal_Mutual Check Lamnyong-week27" xfId="7" xr:uid="{00000000-0005-0000-0000-000015000000}"/>
    <cellStyle name="Normal_RAB LabKes~5" xfId="14" xr:uid="{00000000-0005-0000-0000-000016000000}"/>
    <cellStyle name="Normal_RAB ME Undip Ref V.02-PYANI-BR, 310108" xfId="22" xr:uid="{00000000-0005-0000-0000-000017000000}"/>
    <cellStyle name="Normal_RAB RUSUNAWA T-24 (ZONE 5&amp;6)" xfId="6" xr:uid="{00000000-0005-0000-0000-000018000000}"/>
    <cellStyle name="Normal_Sheet1" xfId="23" xr:uid="{00000000-0005-0000-0000-000019000000}"/>
  </cellStyles>
  <dxfs count="0"/>
  <tableStyles count="0" defaultTableStyle="TableStyleMedium2" defaultPivotStyle="PivotStyleLight16"/>
  <colors>
    <mruColors>
      <color rgb="FFFF66FF"/>
      <color rgb="FFDCD3FD"/>
      <color rgb="FF0000FF"/>
      <color rgb="FFA79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1149350</xdr:colOff>
      <xdr:row>0</xdr:row>
      <xdr:rowOff>53975</xdr:rowOff>
    </xdr:from>
    <xdr:to>
      <xdr:col>5</xdr:col>
      <xdr:colOff>264899</xdr:colOff>
      <xdr:row>0</xdr:row>
      <xdr:rowOff>1231900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56E19-97EF-471D-8326-E4F9C640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3975"/>
          <a:ext cx="6481549" cy="1177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17637</xdr:colOff>
      <xdr:row>0</xdr:row>
      <xdr:rowOff>17640</xdr:rowOff>
    </xdr:from>
    <xdr:to>
      <xdr:col>3</xdr:col>
      <xdr:colOff>309394</xdr:colOff>
      <xdr:row>0</xdr:row>
      <xdr:rowOff>1023056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165D5-395A-4B08-AF89-099A765B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7" y="17640"/>
          <a:ext cx="5477590" cy="1005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614149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C14E7-0384-4F67-925D-528F0017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0"/>
          <a:ext cx="6462499" cy="1174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169334</xdr:rowOff>
    </xdr:from>
    <xdr:to>
      <xdr:col>4</xdr:col>
      <xdr:colOff>303000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1694A-B8E4-4018-B244-D2AA4251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169334"/>
          <a:ext cx="6462499" cy="1174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nalisa%20Harga%20Satuan%20Tahun%202015%20smtr%202\Harga%20Satuan%20Upah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Documents%20and%20Settings\Owner\My%20Documents\Analisa%20DIRJEN%20binamarga%20-%20Panduan%20Analisis%20Harga%20Satuan%20No%20008BM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Users\Public\DIAH\Analisa%20Harga%20Satuan%20Tahun%202015%20smtr%201%20-%20puskesmas%20kota%20smg\Analisa%20PSDA%202011%20MURNI%20Mei%202011%20(FIX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Users\Public\DIAH\Analisa%20Harga%20Satuan%20Tahun%202015%20smtr%201%20-%20puskesmas%20kota%20smg\Harga%20Satuan%20Upah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mdi\proyek-2\DATA%20ANALISIS\RAB%20&amp;%20ESTIMATE\RAB%206%20RUSUN%20Menpera\Rusunawa%20UNJA%20JAMBI%20Sumat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PAHS2006\Copy%20of%20PAHS2006%20R2%20draft(MIS)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Divisi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Divisi%2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Divisi%2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Divisi%2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3\Users\Documents%20and%20Settings\user\My%20Documents\LAP%20HARGA%20SAT\ANL%20HARGA%20SATUAN\EXCEL-PAHS\PANDUAN%20BQ\EE%20FO%20Pamanukan\3-DI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JY/2022/2.%20Joging%20Track/PERENCANA/DOKUMEN/RAB/2.%20RAB/1.%20RAB%20TOTAL%20(%20REKAP%20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JY/2024/5.%20JOGING%20TRACK/PERENCANAAN/DOKUMEN/DOKUMEN%20AKHIR%20(%20RAB%20DAN%20SPEK%20)/DOK.%20LELANG/1.%20RAB%20TOTAL%20-%20RES%20-%20EDIT/RAB%20MEP%20JTU%202024%20AKH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Uraian Analisa Alat"/>
      <sheetName val="Uraian Analisa BM Split"/>
      <sheetName val="Biaya Sewa Alat"/>
      <sheetName val="Form Harga"/>
      <sheetName val="Analisa Quary"/>
      <sheetName val="Form Survey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Dasar"/>
      <sheetName val="daf_H_sat"/>
      <sheetName val="Analisa pemkot"/>
      <sheetName val="biaya sewa alat"/>
      <sheetName val="AN_Alat"/>
      <sheetName val="analisa buangan"/>
      <sheetName val="analisa BM"/>
      <sheetName val="Sheet3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Uraian Analisa Alat"/>
      <sheetName val="Uraian Analisa BM Split"/>
      <sheetName val="Biaya Sewa Alat"/>
      <sheetName val="Form Harga"/>
      <sheetName val="Analisa Quary"/>
      <sheetName val="Form Survey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Daftar - Isi"/>
      <sheetName val="Hit Vol Str Jambi"/>
      <sheetName val="Hit Vol_PSU"/>
      <sheetName val="Analisa Harga Satuan"/>
      <sheetName val="Harga Satuan"/>
      <sheetName val="R A B"/>
      <sheetName val="&quot;S&quot; Curve"/>
      <sheetName val="Rekapitulasi"/>
      <sheetName val="Daftar_-_Isi"/>
      <sheetName val="Hit_Vol_Str_Jambi"/>
      <sheetName val="Hit_Vol_PSU"/>
      <sheetName val="Analisa_Harga_Satuan"/>
      <sheetName val="Harga_Satuan"/>
      <sheetName val="R_A_B"/>
      <sheetName val="&quot;S&quot;_Curve"/>
      <sheetName val="BAG-2"/>
      <sheetName val="ana_str"/>
      <sheetName val="Hargamat"/>
      <sheetName val="BAG_2"/>
      <sheetName val="DAFTAR HARGA"/>
      <sheetName val="FINISHING"/>
      <sheetName val="BQ_E20_02_Rp_"/>
      <sheetName val="Harsat Upah"/>
      <sheetName val="Perhitungan Besi"/>
      <sheetName val="Alat"/>
      <sheetName val="Analisa Gabungan"/>
      <sheetName val="Sub"/>
      <sheetName val="Grand total"/>
      <sheetName val="Ahs_2"/>
      <sheetName val="Ahs_1"/>
      <sheetName val="ANALISA"/>
      <sheetName val="HARSAT"/>
      <sheetName val="satuan_pek_str"/>
      <sheetName val="H.Satuan"/>
      <sheetName val="ANA-HRG"/>
      <sheetName val="DAF-3"/>
      <sheetName val="Daf 1"/>
      <sheetName val="lab bahasa"/>
      <sheetName val="Cover Daf-2"/>
      <sheetName val="Cover Daf_2"/>
      <sheetName val="bahan"/>
      <sheetName val="HSATUAN"/>
      <sheetName val="Surat"/>
      <sheetName val="Input"/>
      <sheetName val="BASIC"/>
      <sheetName val="Ris_Vol"/>
      <sheetName val="Data"/>
      <sheetName val="2. GLIN POOR PLAT ENTRANCE! "/>
      <sheetName val="HB me"/>
      <sheetName val="Cover"/>
      <sheetName val="Material"/>
      <sheetName val="Peralatan"/>
      <sheetName val="HSD"/>
      <sheetName val="dt-1"/>
      <sheetName val="Analisa Alat Berat"/>
      <sheetName val="FORM X COST"/>
      <sheetName val="Harga"/>
      <sheetName val="Lt 1"/>
      <sheetName val="PEMBESIAN BALOK INDUK!"/>
      <sheetName val="ANALISA BAHAN"/>
      <sheetName val="CH"/>
      <sheetName val="DUCTING "/>
      <sheetName val="rab - persiapan &amp; lantai-1"/>
      <sheetName val="Harga Sat"/>
      <sheetName val="HB "/>
      <sheetName val="Summary"/>
      <sheetName val="Analisa Harga"/>
      <sheetName val="Traf&amp;Genst"/>
      <sheetName val="AC-2"/>
      <sheetName val="HSBU ANA"/>
      <sheetName val="Elektrikal"/>
      <sheetName val="PRICE"/>
      <sheetName val="Analisa 2"/>
      <sheetName val="HARGA DASAR"/>
      <sheetName val="BQ-RAPI"/>
      <sheetName val="RAPA"/>
      <sheetName val="plumbing"/>
      <sheetName val="database"/>
      <sheetName val="HARGA RATA"/>
      <sheetName val="Anal-Rab"/>
      <sheetName val="Sat-Rab"/>
      <sheetName val="Psr-Los 4x4"/>
      <sheetName val="HARGA BAHAN &amp; UPAH"/>
      <sheetName val="RAB KapukII"/>
      <sheetName val="BAU"/>
      <sheetName val="PT."/>
      <sheetName val="boq"/>
      <sheetName val="rab 4"/>
      <sheetName val="SNI FIX"/>
      <sheetName val="I-KAMAR"/>
      <sheetName val="I_KAMAR"/>
      <sheetName val="Estimate"/>
      <sheetName val="DAFTAR BESI KANAL C SIKU"/>
    </sheetNames>
    <sheetDataSet>
      <sheetData sheetId="0"/>
      <sheetData sheetId="1" refreshError="1"/>
      <sheetData sheetId="2" refreshError="1"/>
      <sheetData sheetId="3" refreshError="1"/>
      <sheetData sheetId="4" refreshError="1">
        <row r="1193">
          <cell r="G1193">
            <v>1793077.561275</v>
          </cell>
        </row>
        <row r="1299">
          <cell r="G1299">
            <v>146406</v>
          </cell>
        </row>
        <row r="1459">
          <cell r="G1459">
            <v>17643</v>
          </cell>
        </row>
        <row r="1529">
          <cell r="G1529">
            <v>21050.600000000002</v>
          </cell>
        </row>
        <row r="1571">
          <cell r="G1571">
            <v>18924.599999999999</v>
          </cell>
        </row>
        <row r="1655">
          <cell r="G1655">
            <v>40730.5</v>
          </cell>
        </row>
        <row r="1736">
          <cell r="G1736">
            <v>17723.666666666668</v>
          </cell>
        </row>
        <row r="1780">
          <cell r="G1780">
            <v>55607.59</v>
          </cell>
        </row>
        <row r="1837">
          <cell r="G1837">
            <v>30270</v>
          </cell>
        </row>
        <row r="1856">
          <cell r="G1856">
            <v>21740</v>
          </cell>
        </row>
        <row r="2286">
          <cell r="G2286">
            <v>68972.75</v>
          </cell>
        </row>
        <row r="2321">
          <cell r="G2321">
            <v>1519374.2613045741</v>
          </cell>
        </row>
        <row r="2333">
          <cell r="G2333">
            <v>1464589.0820826639</v>
          </cell>
        </row>
        <row r="2345">
          <cell r="G2345">
            <v>865370.12882594275</v>
          </cell>
        </row>
        <row r="2358">
          <cell r="G2358">
            <v>832254.177734375</v>
          </cell>
        </row>
        <row r="2370">
          <cell r="G2370">
            <v>1042801.316457664</v>
          </cell>
        </row>
        <row r="2382">
          <cell r="G2382">
            <v>1103722.8899999999</v>
          </cell>
        </row>
        <row r="2394">
          <cell r="G2394">
            <v>917231.53704805323</v>
          </cell>
        </row>
        <row r="2406">
          <cell r="G2406">
            <v>751154.56793363718</v>
          </cell>
        </row>
        <row r="2417">
          <cell r="G2417">
            <v>836767.52137500001</v>
          </cell>
        </row>
        <row r="2448">
          <cell r="G2448">
            <v>264307.2671</v>
          </cell>
        </row>
        <row r="2456">
          <cell r="G2456">
            <v>156345.56709999999</v>
          </cell>
        </row>
        <row r="2490">
          <cell r="G2490">
            <v>155650</v>
          </cell>
        </row>
        <row r="2501">
          <cell r="G2501">
            <v>130254.5</v>
          </cell>
        </row>
        <row r="2522">
          <cell r="G2522">
            <v>3430</v>
          </cell>
        </row>
        <row r="2576">
          <cell r="G2576">
            <v>20162.5</v>
          </cell>
        </row>
        <row r="2596">
          <cell r="G2596">
            <v>77575</v>
          </cell>
        </row>
        <row r="2627">
          <cell r="G2627">
            <v>87090</v>
          </cell>
        </row>
        <row r="2637">
          <cell r="G2637">
            <v>55030</v>
          </cell>
        </row>
        <row r="2673">
          <cell r="G2673">
            <v>15639.083333333334</v>
          </cell>
        </row>
        <row r="2699">
          <cell r="G2699">
            <v>25296.297500000001</v>
          </cell>
        </row>
        <row r="2712">
          <cell r="G2712">
            <v>23933.797500000001</v>
          </cell>
        </row>
        <row r="2725">
          <cell r="G2725">
            <v>32565.297500000001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3">
          <cell r="AW13">
            <v>47472.058636363639</v>
          </cell>
        </row>
        <row r="16">
          <cell r="AW16">
            <v>70230.073977639215</v>
          </cell>
        </row>
        <row r="24">
          <cell r="AW24">
            <v>293927.19306224468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>
        <row r="1">
          <cell r="A1" t="str">
            <v>ITEM PEMBAYARAN NO.</v>
          </cell>
          <cell r="D1" t="str">
            <v>:  2.1</v>
          </cell>
          <cell r="E1" t="str">
            <v>oke</v>
          </cell>
          <cell r="J1" t="str">
            <v xml:space="preserve">Analisa EI-21 </v>
          </cell>
          <cell r="T1" t="str">
            <v xml:space="preserve">Analisa EI-21 </v>
          </cell>
        </row>
        <row r="2">
          <cell r="A2" t="str">
            <v>JENIS PEKERJAAN</v>
          </cell>
          <cell r="D2" t="str">
            <v>:  Galian Utk Drainase, Saluran dan Saluran Air</v>
          </cell>
        </row>
        <row r="3">
          <cell r="A3" t="str">
            <v>SATUAN PEMBAYARAN</v>
          </cell>
          <cell r="D3" t="str">
            <v>:  M3</v>
          </cell>
          <cell r="J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 t="str">
            <v xml:space="preserve">                                                                                                            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Jalan   :  sedang / baik</v>
          </cell>
          <cell r="L12" t="str">
            <v>ITEM PEMBAYARAN NO.</v>
          </cell>
          <cell r="O12" t="str">
            <v>:  2.1</v>
          </cell>
          <cell r="R12" t="str">
            <v>PERKIRAAN VOL. PEK.</v>
          </cell>
          <cell r="T12" t="str">
            <v>:</v>
          </cell>
          <cell r="U12">
            <v>1</v>
          </cell>
        </row>
        <row r="13">
          <cell r="A13">
            <v>4</v>
          </cell>
          <cell r="C13" t="str">
            <v>Jam kerja efektif per-hari</v>
          </cell>
          <cell r="G13" t="str">
            <v>Tk</v>
          </cell>
          <cell r="H13">
            <v>7</v>
          </cell>
          <cell r="I13" t="str">
            <v>jam</v>
          </cell>
          <cell r="L13" t="str">
            <v>JENIS PEKERJAAN</v>
          </cell>
          <cell r="O13" t="str">
            <v>:  Galian Utk Drainase, Saluran dan Saluran Air</v>
          </cell>
          <cell r="R13" t="str">
            <v>TOTAL HARGA (Rp.)</v>
          </cell>
          <cell r="T13" t="str">
            <v>:</v>
          </cell>
          <cell r="U13">
            <v>32339.52</v>
          </cell>
        </row>
        <row r="14">
          <cell r="A14">
            <v>5</v>
          </cell>
          <cell r="C14" t="str">
            <v>Faktor pengembangan bahan</v>
          </cell>
          <cell r="G14" t="str">
            <v>Fk</v>
          </cell>
          <cell r="H14">
            <v>1.2</v>
          </cell>
          <cell r="I14" t="str">
            <v>-</v>
          </cell>
          <cell r="L14" t="str">
            <v>SATUAN PEMBAYARAN</v>
          </cell>
          <cell r="O14" t="str">
            <v>:  M3</v>
          </cell>
          <cell r="Q14">
            <v>0</v>
          </cell>
          <cell r="R14" t="str">
            <v>% THD. BIAYA PROYEK</v>
          </cell>
          <cell r="T14" t="str">
            <v>:</v>
          </cell>
          <cell r="U14">
            <v>7.6954069998812278E-4</v>
          </cell>
        </row>
        <row r="17">
          <cell r="A17" t="str">
            <v>II.</v>
          </cell>
          <cell r="C17" t="str">
            <v>URUTAN  KERJA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1</v>
          </cell>
          <cell r="C18" t="str">
            <v>Penggalian dilakukan dengan menggunakan Excavator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>
            <v>2</v>
          </cell>
          <cell r="C19" t="str">
            <v>Selanjutnya Excavator menuangkan material hasil</v>
          </cell>
          <cell r="R19" t="str">
            <v>(Rp.)</v>
          </cell>
          <cell r="S19" t="str">
            <v>(Rp.)</v>
          </cell>
        </row>
        <row r="20">
          <cell r="C20" t="str">
            <v>galian kedalam Dump Truck</v>
          </cell>
        </row>
        <row r="21">
          <cell r="A21">
            <v>3</v>
          </cell>
          <cell r="C21" t="str">
            <v>Dump Truck membuang material hasil galian keluar</v>
          </cell>
        </row>
        <row r="22">
          <cell r="C22" t="str">
            <v>lokasi jalan sejauh</v>
          </cell>
          <cell r="G22" t="str">
            <v>L</v>
          </cell>
          <cell r="H22">
            <v>5</v>
          </cell>
          <cell r="I22" t="str">
            <v>Km</v>
          </cell>
          <cell r="L22" t="str">
            <v>A.</v>
          </cell>
          <cell r="N22" t="str">
            <v>TENAGA</v>
          </cell>
        </row>
        <row r="23">
          <cell r="A23">
            <v>4</v>
          </cell>
          <cell r="C23" t="str">
            <v>Sekelompok pekerja akan merapikan hasil galian</v>
          </cell>
        </row>
        <row r="24"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3.6504440701875605E-2</v>
          </cell>
          <cell r="R24">
            <v>2857.14</v>
          </cell>
          <cell r="U24">
            <v>104.29829770695686</v>
          </cell>
        </row>
        <row r="25"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9.1261101754689013E-3</v>
          </cell>
          <cell r="R25">
            <v>3214.29</v>
          </cell>
          <cell r="U25">
            <v>29.333964675907936</v>
          </cell>
        </row>
        <row r="26">
          <cell r="A26" t="str">
            <v>III.</v>
          </cell>
          <cell r="C26" t="str">
            <v>PEMAKAIAN BAHAN, ALAT DAN TENAGA</v>
          </cell>
        </row>
        <row r="28">
          <cell r="A28" t="str">
            <v xml:space="preserve">   1.</v>
          </cell>
          <cell r="C28" t="str">
            <v>BAHAN</v>
          </cell>
          <cell r="R28" t="str">
            <v xml:space="preserve">JUMLAH HARGA TENAGA   </v>
          </cell>
          <cell r="U28">
            <v>133.63226238286478</v>
          </cell>
        </row>
        <row r="29">
          <cell r="C29" t="str">
            <v>Tidak ada bahan yang diperlukan</v>
          </cell>
        </row>
        <row r="30">
          <cell r="L30" t="str">
            <v>B.</v>
          </cell>
          <cell r="N30" t="str">
            <v>BAHAN</v>
          </cell>
        </row>
        <row r="32">
          <cell r="A32" t="str">
            <v xml:space="preserve">   2.</v>
          </cell>
          <cell r="C32" t="str">
            <v>ALAT</v>
          </cell>
        </row>
        <row r="33">
          <cell r="A33" t="str">
            <v xml:space="preserve">   2.a.</v>
          </cell>
          <cell r="C33" t="str">
            <v>EXCAVATOR</v>
          </cell>
          <cell r="G33" t="str">
            <v>(E10)</v>
          </cell>
        </row>
        <row r="34">
          <cell r="C34" t="str">
            <v>Kapasitas Bucket</v>
          </cell>
          <cell r="G34" t="str">
            <v>V</v>
          </cell>
          <cell r="H34">
            <v>0.93</v>
          </cell>
          <cell r="I34" t="str">
            <v>M3</v>
          </cell>
        </row>
        <row r="35">
          <cell r="C35" t="str">
            <v>Faktor Bucket</v>
          </cell>
          <cell r="G35" t="str">
            <v>Fb</v>
          </cell>
          <cell r="H35">
            <v>1</v>
          </cell>
          <cell r="I35" t="str">
            <v>-</v>
          </cell>
        </row>
        <row r="36">
          <cell r="C36" t="str">
            <v>Faktor  Efisiensi alat</v>
          </cell>
          <cell r="G36" t="str">
            <v>Fa</v>
          </cell>
          <cell r="H36">
            <v>0.83</v>
          </cell>
          <cell r="I36" t="str">
            <v>-</v>
          </cell>
        </row>
        <row r="37">
          <cell r="C37" t="str">
            <v>Faktor Konversi</v>
          </cell>
          <cell r="G37" t="str">
            <v>Fv</v>
          </cell>
          <cell r="H37">
            <v>0.9</v>
          </cell>
        </row>
        <row r="39">
          <cell r="C39" t="str">
            <v>Waktu siklus</v>
          </cell>
          <cell r="G39" t="str">
            <v>Ts1</v>
          </cell>
          <cell r="R39" t="str">
            <v xml:space="preserve">JUMLAH HARGA BAHAN   </v>
          </cell>
          <cell r="U39">
            <v>0</v>
          </cell>
        </row>
        <row r="40">
          <cell r="C40" t="str">
            <v>- Menggali,  memuat dan berputar</v>
          </cell>
          <cell r="G40" t="str">
            <v>T1</v>
          </cell>
          <cell r="H40">
            <v>0.317</v>
          </cell>
          <cell r="I40" t="str">
            <v>menit</v>
          </cell>
        </row>
        <row r="41">
          <cell r="C41" t="str">
            <v>- Lain-lain</v>
          </cell>
          <cell r="G41" t="str">
            <v>T2</v>
          </cell>
          <cell r="I41" t="str">
            <v>menit</v>
          </cell>
          <cell r="L41" t="str">
            <v>C.</v>
          </cell>
          <cell r="N41" t="str">
            <v>PERALATAN</v>
          </cell>
        </row>
        <row r="42">
          <cell r="G42" t="str">
            <v>Ts1</v>
          </cell>
          <cell r="H42">
            <v>0.317</v>
          </cell>
          <cell r="I42" t="str">
            <v>menit</v>
          </cell>
        </row>
        <row r="43">
          <cell r="L43" t="str">
            <v>1.</v>
          </cell>
          <cell r="N43" t="str">
            <v>Excavator</v>
          </cell>
          <cell r="O43" t="str">
            <v>(E10)</v>
          </cell>
          <cell r="P43" t="str">
            <v>jam</v>
          </cell>
          <cell r="Q43">
            <v>9.1261101754689013E-3</v>
          </cell>
          <cell r="R43">
            <v>238185.05650827778</v>
          </cell>
          <cell r="U43">
            <v>2173.7030678448291</v>
          </cell>
        </row>
        <row r="44">
          <cell r="C44" t="str">
            <v>Kap. Prod. / jam =</v>
          </cell>
          <cell r="D44" t="str">
            <v>V  x Fb x Fa x Fv x  60</v>
          </cell>
          <cell r="G44" t="str">
            <v>Q1</v>
          </cell>
          <cell r="H44">
            <v>109.5757097791798</v>
          </cell>
          <cell r="I44" t="str">
            <v xml:space="preserve">M3  </v>
          </cell>
          <cell r="L44" t="str">
            <v>2.</v>
          </cell>
          <cell r="N44" t="str">
            <v>Dump Truck</v>
          </cell>
          <cell r="O44" t="str">
            <v>(E08)</v>
          </cell>
          <cell r="P44" t="str">
            <v>jam</v>
          </cell>
          <cell r="Q44">
            <v>0.16982088218140085</v>
          </cell>
          <cell r="R44">
            <v>153645.58193291764</v>
          </cell>
          <cell r="U44">
            <v>26092.228267122777</v>
          </cell>
        </row>
        <row r="45">
          <cell r="D45" t="str">
            <v>Ts1 x Fk</v>
          </cell>
          <cell r="L45" t="str">
            <v>3.</v>
          </cell>
          <cell r="N45" t="str">
            <v>Alat Bantu</v>
          </cell>
          <cell r="P45" t="str">
            <v>Ls</v>
          </cell>
          <cell r="Q45">
            <v>1</v>
          </cell>
          <cell r="R45">
            <v>1000</v>
          </cell>
          <cell r="U45">
            <v>1000</v>
          </cell>
        </row>
        <row r="47">
          <cell r="C47" t="str">
            <v>Koefisien Alat / M3</v>
          </cell>
          <cell r="D47" t="str">
            <v xml:space="preserve"> =  1  :  Q1</v>
          </cell>
          <cell r="G47" t="str">
            <v>-</v>
          </cell>
          <cell r="H47">
            <v>9.1261101754689013E-3</v>
          </cell>
          <cell r="I47" t="str">
            <v>Jam</v>
          </cell>
        </row>
        <row r="50">
          <cell r="R50" t="str">
            <v xml:space="preserve">JUMLAH HARGA PERALATAN   </v>
          </cell>
          <cell r="U50">
            <v>29265.931334967605</v>
          </cell>
        </row>
        <row r="51">
          <cell r="A51" t="str">
            <v xml:space="preserve">   2.b.</v>
          </cell>
          <cell r="C51" t="str">
            <v>DUMP TRUCK</v>
          </cell>
          <cell r="G51" t="str">
            <v>(E08)</v>
          </cell>
        </row>
        <row r="52">
          <cell r="C52" t="str">
            <v>Kaasitas bak</v>
          </cell>
          <cell r="G52" t="str">
            <v>V</v>
          </cell>
          <cell r="H52">
            <v>4</v>
          </cell>
          <cell r="I52" t="str">
            <v>M3</v>
          </cell>
          <cell r="L52" t="str">
            <v>D.</v>
          </cell>
          <cell r="N52" t="str">
            <v>JUMLAH HARGA TENAGA, BAHAN DAN PERALATAN  ( A + B + C )</v>
          </cell>
          <cell r="U52">
            <v>29399.563597350469</v>
          </cell>
        </row>
        <row r="53">
          <cell r="C53" t="str">
            <v>Faktor  efisiensi alat</v>
          </cell>
          <cell r="G53" t="str">
            <v>Fa</v>
          </cell>
          <cell r="H53">
            <v>0.83</v>
          </cell>
          <cell r="I53" t="str">
            <v>-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2939.956359735047</v>
          </cell>
        </row>
        <row r="54">
          <cell r="C54" t="str">
            <v>Kecepatan rata-rata bermuatan</v>
          </cell>
          <cell r="G54" t="str">
            <v>v1</v>
          </cell>
          <cell r="H54">
            <v>20</v>
          </cell>
          <cell r="I54" t="str">
            <v>Km/Jam</v>
          </cell>
          <cell r="L54" t="str">
            <v>F.</v>
          </cell>
          <cell r="N54" t="str">
            <v>HARGA SATUAN PEKERJAAN  ( D + E )</v>
          </cell>
          <cell r="U54">
            <v>32339.519957085515</v>
          </cell>
        </row>
        <row r="55">
          <cell r="C55" t="str">
            <v>Kecepatan rata-rata kosong</v>
          </cell>
          <cell r="G55" t="str">
            <v>v2</v>
          </cell>
          <cell r="H55">
            <v>30</v>
          </cell>
          <cell r="I55" t="str">
            <v>Km/Jam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Waktu  siklus  :</v>
          </cell>
          <cell r="G56" t="str">
            <v>Ts2</v>
          </cell>
          <cell r="N56" t="str">
            <v>berat untuk bahan-bahan.</v>
          </cell>
        </row>
        <row r="57">
          <cell r="C57" t="str">
            <v>- Waktu tempuh isi</v>
          </cell>
          <cell r="E57" t="str">
            <v>=   (L  :  v1)  x  60</v>
          </cell>
          <cell r="G57" t="str">
            <v>T1</v>
          </cell>
          <cell r="H57">
            <v>15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Waktu tempuh kosong</v>
          </cell>
          <cell r="E58" t="str">
            <v>=   (L  :  v2)  x  60</v>
          </cell>
          <cell r="G58" t="str">
            <v>T2</v>
          </cell>
          <cell r="H58">
            <v>10</v>
          </cell>
          <cell r="I58" t="str">
            <v>menit</v>
          </cell>
          <cell r="N58" t="str">
            <v>mata pembayaran.</v>
          </cell>
        </row>
        <row r="59">
          <cell r="C59" t="str">
            <v>- Muat</v>
          </cell>
          <cell r="E59" t="str">
            <v>=   (V  :  Q1) x 60</v>
          </cell>
          <cell r="G59" t="str">
            <v>T3</v>
          </cell>
          <cell r="H59">
            <v>2.1902664421125362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C60" t="str">
            <v>- Lain-lain</v>
          </cell>
          <cell r="G60" t="str">
            <v>T4</v>
          </cell>
          <cell r="H60">
            <v>1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G61" t="str">
            <v>Ts2</v>
          </cell>
          <cell r="H61">
            <v>28.190266442112538</v>
          </cell>
          <cell r="I61" t="str">
            <v>menit</v>
          </cell>
          <cell r="N61" t="str">
            <v>yang dibayar dari kontrak) dan biaya-biaya lainnya.</v>
          </cell>
        </row>
        <row r="62">
          <cell r="J62" t="str">
            <v>Berlanjut ke halaman berikut</v>
          </cell>
        </row>
        <row r="63">
          <cell r="A63" t="str">
            <v>ITEM PEMBAYARAN NO.</v>
          </cell>
          <cell r="D63" t="str">
            <v>:  2.1</v>
          </cell>
          <cell r="J63" t="str">
            <v xml:space="preserve">Analisa EI-21 </v>
          </cell>
        </row>
        <row r="64">
          <cell r="A64" t="str">
            <v>JENIS PEKERJAAN</v>
          </cell>
          <cell r="D64" t="str">
            <v>:  Galian Utk Drainase, Saluran dan Saluran Air</v>
          </cell>
        </row>
        <row r="65">
          <cell r="A65" t="str">
            <v>SATUAN PEMBAYARAN</v>
          </cell>
          <cell r="D65" t="str">
            <v>:  M3</v>
          </cell>
          <cell r="J65" t="str">
            <v xml:space="preserve">         URAIAN ANALISA HARGA SATUAN</v>
          </cell>
        </row>
        <row r="66">
          <cell r="J66" t="str">
            <v>Lanjutan</v>
          </cell>
        </row>
        <row r="68">
          <cell r="A68" t="str">
            <v>No.</v>
          </cell>
          <cell r="C68" t="str">
            <v>U R A I A N</v>
          </cell>
          <cell r="G68" t="str">
            <v>KODE</v>
          </cell>
          <cell r="H68" t="str">
            <v>KOEF.</v>
          </cell>
          <cell r="I68" t="str">
            <v>SATUAN</v>
          </cell>
          <cell r="J68" t="str">
            <v>KETERANGAN</v>
          </cell>
        </row>
        <row r="71">
          <cell r="C71" t="str">
            <v>Kapasitas Produksi / Jam   =</v>
          </cell>
          <cell r="E71" t="str">
            <v>V x Fa x 60</v>
          </cell>
          <cell r="G71" t="str">
            <v>Q2</v>
          </cell>
          <cell r="H71">
            <v>5.888557326723876</v>
          </cell>
          <cell r="I71" t="str">
            <v>M3</v>
          </cell>
        </row>
        <row r="72">
          <cell r="E72" t="str">
            <v xml:space="preserve">    Fk x Ts2</v>
          </cell>
        </row>
        <row r="75">
          <cell r="C75" t="str">
            <v>Koefisien Alat / M3</v>
          </cell>
          <cell r="D75" t="str">
            <v xml:space="preserve"> =  1  :  Q2</v>
          </cell>
          <cell r="G75" t="str">
            <v>-</v>
          </cell>
          <cell r="H75">
            <v>0.16982088218140085</v>
          </cell>
          <cell r="I75" t="str">
            <v>Jam</v>
          </cell>
        </row>
        <row r="78">
          <cell r="A78" t="str">
            <v>2.d.</v>
          </cell>
          <cell r="C78" t="str">
            <v>ALAT  BANTU</v>
          </cell>
        </row>
        <row r="79">
          <cell r="C79" t="str">
            <v>Diperlukan alat-alat bantu kecil</v>
          </cell>
          <cell r="J79" t="str">
            <v>Lump Sump</v>
          </cell>
        </row>
        <row r="80">
          <cell r="C80" t="str">
            <v>- Sekop</v>
          </cell>
        </row>
        <row r="81">
          <cell r="C81" t="str">
            <v>- Keranjang + Sapu</v>
          </cell>
        </row>
        <row r="83">
          <cell r="A83" t="str">
            <v xml:space="preserve">   3.</v>
          </cell>
          <cell r="C83" t="str">
            <v>TENAGA</v>
          </cell>
        </row>
        <row r="84">
          <cell r="C84" t="str">
            <v>Produksi menentukan : EXCAVATOR</v>
          </cell>
          <cell r="G84" t="str">
            <v>Q1</v>
          </cell>
          <cell r="H84">
            <v>109.5757097791798</v>
          </cell>
          <cell r="I84" t="str">
            <v>M3/Jam</v>
          </cell>
        </row>
        <row r="85">
          <cell r="C85" t="str">
            <v>Produksi Galian / hari  =  Tk x Q1</v>
          </cell>
          <cell r="G85" t="str">
            <v>Qt</v>
          </cell>
          <cell r="H85">
            <v>767.02996845425866</v>
          </cell>
          <cell r="I85" t="str">
            <v>M3</v>
          </cell>
        </row>
        <row r="86">
          <cell r="C86" t="str">
            <v>Kebutuhan tenaga :</v>
          </cell>
        </row>
        <row r="87">
          <cell r="D87" t="str">
            <v>- Pekerja</v>
          </cell>
          <cell r="G87" t="str">
            <v>P</v>
          </cell>
          <cell r="H87">
            <v>4</v>
          </cell>
          <cell r="I87" t="str">
            <v>orang</v>
          </cell>
        </row>
        <row r="88">
          <cell r="D88" t="str">
            <v>- Mandor</v>
          </cell>
          <cell r="G88" t="str">
            <v>M</v>
          </cell>
          <cell r="H88">
            <v>1</v>
          </cell>
          <cell r="I88" t="str">
            <v>orang</v>
          </cell>
        </row>
        <row r="90">
          <cell r="C90" t="str">
            <v>Koefisien tenaga / M3   :</v>
          </cell>
        </row>
        <row r="91">
          <cell r="D91" t="str">
            <v>- Pekerja</v>
          </cell>
          <cell r="E91" t="str">
            <v>= (Tk x P) : Qt</v>
          </cell>
          <cell r="G91" t="str">
            <v>(L01)</v>
          </cell>
          <cell r="H91">
            <v>3.6504440701875605E-2</v>
          </cell>
          <cell r="I91" t="str">
            <v>Jam</v>
          </cell>
        </row>
        <row r="92">
          <cell r="D92" t="str">
            <v>- Mandor</v>
          </cell>
          <cell r="E92" t="str">
            <v>= (Tk x M) : Qt</v>
          </cell>
          <cell r="G92" t="str">
            <v>(L03)</v>
          </cell>
          <cell r="H92">
            <v>9.1261101754689013E-3</v>
          </cell>
          <cell r="I92" t="str">
            <v>Jam</v>
          </cell>
        </row>
        <row r="94">
          <cell r="A94" t="str">
            <v>4.</v>
          </cell>
          <cell r="C94" t="str">
            <v>HARGA DASAR SATUAN UPAH, BAHAN DAN ALAT</v>
          </cell>
        </row>
        <row r="95">
          <cell r="C95" t="str">
            <v>Lihat lampiran.</v>
          </cell>
        </row>
        <row r="97">
          <cell r="A97" t="str">
            <v>5.</v>
          </cell>
          <cell r="C97" t="str">
            <v>ANALISA HARGA SATUAN PEKERJAAN</v>
          </cell>
        </row>
        <row r="98">
          <cell r="C98" t="str">
            <v>Lihat perhitungan dalam FORMULIR STANDAR UNTUK</v>
          </cell>
        </row>
        <row r="99">
          <cell r="C99" t="str">
            <v>PEREKEMAN ANALISA MASING-MASING HARGA</v>
          </cell>
        </row>
        <row r="100">
          <cell r="C100" t="str">
            <v>SATUAN.</v>
          </cell>
        </row>
        <row r="101">
          <cell r="C101" t="str">
            <v>Didapat Harga Satuan Pekerjaan :</v>
          </cell>
        </row>
        <row r="103">
          <cell r="C103" t="str">
            <v xml:space="preserve">Rp.  </v>
          </cell>
          <cell r="D103">
            <v>32339.519957085515</v>
          </cell>
          <cell r="E103" t="str">
            <v xml:space="preserve"> / M3</v>
          </cell>
        </row>
        <row r="106">
          <cell r="A106" t="str">
            <v>6.</v>
          </cell>
          <cell r="C106" t="str">
            <v>WAKTU PELAKSANAAN YANG DIPERLUKAN</v>
          </cell>
        </row>
        <row r="107">
          <cell r="C107" t="str">
            <v>Masa Pelaksanaan :</v>
          </cell>
          <cell r="D107" t="str">
            <v>. . . . . . . . . . . .</v>
          </cell>
          <cell r="E107" t="str">
            <v>bulan</v>
          </cell>
        </row>
        <row r="109">
          <cell r="A109" t="str">
            <v>7.</v>
          </cell>
          <cell r="C109" t="str">
            <v>VOLUME PEKERJAAN YANG DIPERLUKAN</v>
          </cell>
        </row>
        <row r="110">
          <cell r="C110" t="str">
            <v>Volume pekerjaan  :</v>
          </cell>
          <cell r="D110">
            <v>1</v>
          </cell>
          <cell r="E110" t="str">
            <v>M3</v>
          </cell>
        </row>
        <row r="121">
          <cell r="T121" t="str">
            <v xml:space="preserve">Analisa LI-22 </v>
          </cell>
        </row>
        <row r="123">
          <cell r="A123" t="str">
            <v>ITEM PEMBAYARAN NO.</v>
          </cell>
          <cell r="D123" t="str">
            <v>:  2.2</v>
          </cell>
          <cell r="E123" t="str">
            <v>oke</v>
          </cell>
          <cell r="J123" t="str">
            <v xml:space="preserve">Analisa EI-22 </v>
          </cell>
        </row>
        <row r="124">
          <cell r="A124" t="str">
            <v>JENIS PEKERJAAN</v>
          </cell>
          <cell r="D124" t="str">
            <v>:  Pasangan Batu Dengan Mortar untuk Saluran</v>
          </cell>
          <cell r="L124" t="str">
            <v>FORMULIR STANDAR UNTUK</v>
          </cell>
        </row>
        <row r="125">
          <cell r="A125" t="str">
            <v>SATUAN PEMBAYARAN</v>
          </cell>
          <cell r="D125" t="str">
            <v>:  M3</v>
          </cell>
          <cell r="J125" t="str">
            <v xml:space="preserve">         URAIAN ANALISA HARGA SATUAN</v>
          </cell>
          <cell r="L125" t="str">
            <v>PEREKAMAN ANALISA MASING-MASING HARGA SATUAN</v>
          </cell>
        </row>
        <row r="126">
          <cell r="L126" t="str">
            <v xml:space="preserve">                                                                                                            </v>
          </cell>
        </row>
        <row r="128">
          <cell r="A128" t="str">
            <v>No.</v>
          </cell>
          <cell r="C128" t="str">
            <v>U R A I A N</v>
          </cell>
          <cell r="G128" t="str">
            <v>KODE</v>
          </cell>
          <cell r="H128" t="str">
            <v>KOEF.</v>
          </cell>
          <cell r="I128" t="str">
            <v>SATUAN</v>
          </cell>
          <cell r="J128" t="str">
            <v>KETERANGAN</v>
          </cell>
        </row>
        <row r="129">
          <cell r="L129" t="str">
            <v>PROYEK</v>
          </cell>
          <cell r="O129" t="str">
            <v>:</v>
          </cell>
        </row>
        <row r="130">
          <cell r="L130" t="str">
            <v>No. PAKET KONTRAK</v>
          </cell>
          <cell r="O130" t="str">
            <v>:</v>
          </cell>
        </row>
        <row r="131">
          <cell r="A131" t="str">
            <v>I.</v>
          </cell>
          <cell r="C131" t="str">
            <v>ASUMSI</v>
          </cell>
          <cell r="L131" t="str">
            <v>NAMA PAKET</v>
          </cell>
          <cell r="O131" t="str">
            <v>:</v>
          </cell>
        </row>
        <row r="132">
          <cell r="A132">
            <v>1</v>
          </cell>
          <cell r="C132" t="str">
            <v>Menggunakan alat (cara mekanik)</v>
          </cell>
          <cell r="L132" t="str">
            <v>PROP / KAB / KODYA</v>
          </cell>
          <cell r="O132" t="str">
            <v>:</v>
          </cell>
        </row>
        <row r="133">
          <cell r="A133">
            <v>2</v>
          </cell>
          <cell r="C133" t="str">
            <v>Lokasi pekerjaan : sepanjang jalan</v>
          </cell>
          <cell r="L133" t="str">
            <v>ITEM PEMBAYARAN NO.</v>
          </cell>
          <cell r="O133" t="str">
            <v>:  2.2</v>
          </cell>
          <cell r="R133" t="str">
            <v>PERKIRAAN VOL. PEK.</v>
          </cell>
          <cell r="T133" t="str">
            <v>:</v>
          </cell>
          <cell r="U133">
            <v>1</v>
          </cell>
        </row>
        <row r="134">
          <cell r="A134">
            <v>3</v>
          </cell>
          <cell r="C134" t="str">
            <v>Bahan dasar (batu, pasir dan semen) diterima</v>
          </cell>
          <cell r="L134" t="str">
            <v>JENIS PEKERJAAN</v>
          </cell>
          <cell r="O134" t="str">
            <v>:  Pasangan Batu Dengan Mortar untuk Saluran</v>
          </cell>
          <cell r="R134" t="str">
            <v>TOTAL HARGA (Rp.)</v>
          </cell>
          <cell r="T134" t="str">
            <v>:</v>
          </cell>
          <cell r="U134">
            <v>32339.52</v>
          </cell>
        </row>
        <row r="135">
          <cell r="C135" t="str">
            <v>seluruhnya di lokasi pekerjaan</v>
          </cell>
          <cell r="L135" t="str">
            <v>SATUAN PEMBAYARAN</v>
          </cell>
          <cell r="O135" t="str">
            <v>:  M3</v>
          </cell>
          <cell r="R135" t="str">
            <v>% THD. BIAYA PROYEK</v>
          </cell>
          <cell r="T135" t="str">
            <v>:</v>
          </cell>
          <cell r="U135" t="e">
            <v>#DIV/0!</v>
          </cell>
        </row>
        <row r="136">
          <cell r="A136">
            <v>4</v>
          </cell>
          <cell r="C136" t="str">
            <v>Jarak rata-rata Base camp ke lokasi pekerjaan</v>
          </cell>
          <cell r="G136" t="str">
            <v>L</v>
          </cell>
          <cell r="H136">
            <v>8.7249999999999996</v>
          </cell>
          <cell r="I136" t="str">
            <v>KM</v>
          </cell>
        </row>
        <row r="137">
          <cell r="A137">
            <v>5</v>
          </cell>
          <cell r="C137" t="str">
            <v>Jam kerja efektif per-hari</v>
          </cell>
          <cell r="G137" t="str">
            <v>Tk</v>
          </cell>
          <cell r="H137">
            <v>7</v>
          </cell>
          <cell r="I137" t="str">
            <v>jam</v>
          </cell>
        </row>
        <row r="138">
          <cell r="A138">
            <v>6</v>
          </cell>
          <cell r="C138" t="str">
            <v>Perbandingan Pasir &amp; Semen</v>
          </cell>
          <cell r="E138" t="str">
            <v>: - Volume Semen</v>
          </cell>
          <cell r="G138" t="str">
            <v>Sm</v>
          </cell>
          <cell r="H138">
            <v>20</v>
          </cell>
          <cell r="I138" t="str">
            <v>%</v>
          </cell>
          <cell r="J138" t="str">
            <v xml:space="preserve"> Kuat Tekan min.</v>
          </cell>
          <cell r="Q138" t="str">
            <v>PERKIRAAN</v>
          </cell>
          <cell r="R138" t="str">
            <v>HARGA</v>
          </cell>
          <cell r="S138" t="str">
            <v>JUMLAH</v>
          </cell>
        </row>
        <row r="139">
          <cell r="E139" t="str">
            <v>: - Volume Pasir</v>
          </cell>
          <cell r="G139" t="str">
            <v>Ps</v>
          </cell>
          <cell r="H139">
            <v>80</v>
          </cell>
          <cell r="I139" t="str">
            <v>%</v>
          </cell>
          <cell r="J139" t="str">
            <v xml:space="preserve"> 50 kg/cm2</v>
          </cell>
          <cell r="L139" t="str">
            <v>NO.</v>
          </cell>
          <cell r="N139" t="str">
            <v>KOMPONEN</v>
          </cell>
          <cell r="P139" t="str">
            <v>SATUAN</v>
          </cell>
          <cell r="Q139" t="str">
            <v>KUANTITAS</v>
          </cell>
          <cell r="R139" t="str">
            <v>SATUAN</v>
          </cell>
          <cell r="S139" t="str">
            <v>HARGA</v>
          </cell>
        </row>
        <row r="140">
          <cell r="A140">
            <v>7</v>
          </cell>
          <cell r="C140" t="str">
            <v>Perbandingan Batu &amp; Mortar  :</v>
          </cell>
          <cell r="R140" t="str">
            <v>(Rp.)</v>
          </cell>
          <cell r="S140" t="str">
            <v>(Rp.)</v>
          </cell>
        </row>
        <row r="141">
          <cell r="C141" t="str">
            <v>- Batu</v>
          </cell>
          <cell r="G141" t="str">
            <v>Bt</v>
          </cell>
          <cell r="H141">
            <v>60</v>
          </cell>
          <cell r="I141" t="str">
            <v>%</v>
          </cell>
        </row>
        <row r="142">
          <cell r="C142" t="str">
            <v>- Mortar (campuran semen &amp; pasir)</v>
          </cell>
          <cell r="G142" t="str">
            <v>Mr</v>
          </cell>
          <cell r="H142">
            <v>40</v>
          </cell>
          <cell r="I142" t="str">
            <v>%</v>
          </cell>
        </row>
        <row r="143">
          <cell r="A143">
            <v>8</v>
          </cell>
          <cell r="C143" t="str">
            <v>Berat Jenis Bahan  :</v>
          </cell>
          <cell r="L143" t="str">
            <v>A.</v>
          </cell>
          <cell r="N143" t="str">
            <v>TENAGA</v>
          </cell>
        </row>
        <row r="144">
          <cell r="C144" t="str">
            <v>- Pasangan Batu Dengan Mortar</v>
          </cell>
          <cell r="G144" t="str">
            <v>D1</v>
          </cell>
          <cell r="H144">
            <v>2.4</v>
          </cell>
          <cell r="I144" t="str">
            <v>ton/M3</v>
          </cell>
        </row>
        <row r="145">
          <cell r="C145" t="str">
            <v>- Batu</v>
          </cell>
          <cell r="G145" t="str">
            <v>D2</v>
          </cell>
          <cell r="H145">
            <v>1.6</v>
          </cell>
          <cell r="I145" t="str">
            <v>ton/M3</v>
          </cell>
          <cell r="L145" t="str">
            <v>1.</v>
          </cell>
          <cell r="N145" t="str">
            <v>Pekerja</v>
          </cell>
          <cell r="O145" t="str">
            <v>(L01)</v>
          </cell>
          <cell r="P145" t="str">
            <v>jam</v>
          </cell>
          <cell r="Q145">
            <v>5.2208835341365463</v>
          </cell>
          <cell r="R145">
            <v>2857.14</v>
          </cell>
          <cell r="U145">
            <v>14916.795180722891</v>
          </cell>
        </row>
        <row r="146">
          <cell r="C146" t="str">
            <v>- Adukan (mortar)</v>
          </cell>
          <cell r="G146" t="str">
            <v>D3</v>
          </cell>
          <cell r="H146">
            <v>1.8</v>
          </cell>
          <cell r="I146" t="str">
            <v>ton/M3</v>
          </cell>
          <cell r="L146" t="str">
            <v>2.</v>
          </cell>
          <cell r="N146" t="str">
            <v>Tukang Batu</v>
          </cell>
          <cell r="O146" t="str">
            <v>(L02)</v>
          </cell>
          <cell r="P146" t="str">
            <v>jam</v>
          </cell>
          <cell r="Q146">
            <v>1.5662650602409638</v>
          </cell>
          <cell r="R146">
            <v>4285.71</v>
          </cell>
          <cell r="U146">
            <v>6712.5578313253009</v>
          </cell>
        </row>
        <row r="147">
          <cell r="C147" t="str">
            <v>- Pasir</v>
          </cell>
          <cell r="G147" t="str">
            <v>D4</v>
          </cell>
          <cell r="H147">
            <v>1.67</v>
          </cell>
          <cell r="I147" t="str">
            <v>ton/M3</v>
          </cell>
          <cell r="L147" t="str">
            <v>3.</v>
          </cell>
          <cell r="N147" t="str">
            <v>Mandor</v>
          </cell>
          <cell r="O147" t="str">
            <v>(L03)</v>
          </cell>
          <cell r="P147" t="str">
            <v>jam</v>
          </cell>
          <cell r="Q147">
            <v>0.52208835341365456</v>
          </cell>
          <cell r="R147">
            <v>3214.29</v>
          </cell>
          <cell r="U147">
            <v>1678.1433734939758</v>
          </cell>
        </row>
        <row r="148">
          <cell r="C148" t="str">
            <v>- Semen Portland</v>
          </cell>
          <cell r="G148" t="str">
            <v>D5</v>
          </cell>
          <cell r="H148">
            <v>1.44</v>
          </cell>
          <cell r="I148" t="str">
            <v>ton/M3</v>
          </cell>
        </row>
        <row r="149">
          <cell r="Q149" t="str">
            <v xml:space="preserve">JUMLAH HARGA TENAGA   </v>
          </cell>
          <cell r="U149">
            <v>23307.496385542167</v>
          </cell>
        </row>
        <row r="150">
          <cell r="A150" t="str">
            <v>II.</v>
          </cell>
          <cell r="C150" t="str">
            <v>URUTAN KERJA</v>
          </cell>
        </row>
        <row r="151">
          <cell r="A151">
            <v>1</v>
          </cell>
          <cell r="C151" t="str">
            <v>Semen, pasir dan air dicampur dan diaduk menjadi</v>
          </cell>
          <cell r="L151" t="str">
            <v>B.</v>
          </cell>
          <cell r="N151" t="str">
            <v>BAHAN</v>
          </cell>
        </row>
        <row r="152">
          <cell r="C152" t="str">
            <v>mortar dengan menggunakan alat bantu</v>
          </cell>
        </row>
        <row r="153">
          <cell r="A153">
            <v>2</v>
          </cell>
          <cell r="C153" t="str">
            <v>Batu dibersihkan dan dibasahi seluruh permukaannya</v>
          </cell>
          <cell r="L153" t="str">
            <v>1.</v>
          </cell>
          <cell r="N153" t="str">
            <v>Batu</v>
          </cell>
          <cell r="O153" t="str">
            <v>(M02)</v>
          </cell>
          <cell r="P153" t="str">
            <v>M3</v>
          </cell>
          <cell r="Q153">
            <v>1.08</v>
          </cell>
          <cell r="R153">
            <v>166100</v>
          </cell>
          <cell r="U153">
            <v>179388</v>
          </cell>
        </row>
        <row r="154">
          <cell r="C154" t="str">
            <v>sebelum dipasang</v>
          </cell>
          <cell r="L154" t="str">
            <v>2.</v>
          </cell>
          <cell r="N154" t="str">
            <v>Semen (PC)</v>
          </cell>
          <cell r="O154" t="str">
            <v>(M12)</v>
          </cell>
          <cell r="P154" t="str">
            <v>zak</v>
          </cell>
          <cell r="Q154">
            <v>161</v>
          </cell>
          <cell r="R154">
            <v>688.65625</v>
          </cell>
          <cell r="U154">
            <v>110873.65625</v>
          </cell>
        </row>
        <row r="155">
          <cell r="A155">
            <v>3</v>
          </cell>
          <cell r="C155" t="str">
            <v>Penyelesaian dan perapihan setelah pemasangan</v>
          </cell>
          <cell r="L155" t="str">
            <v>3.</v>
          </cell>
          <cell r="N155" t="str">
            <v>Pasir</v>
          </cell>
          <cell r="O155" t="str">
            <v>(M01)</v>
          </cell>
          <cell r="P155" t="str">
            <v>M3</v>
          </cell>
          <cell r="Q155">
            <v>0.48287425149700602</v>
          </cell>
          <cell r="R155">
            <v>54300</v>
          </cell>
          <cell r="U155">
            <v>26220.071856287428</v>
          </cell>
        </row>
        <row r="157">
          <cell r="A157" t="str">
            <v>III.</v>
          </cell>
          <cell r="C157" t="str">
            <v>PEMAKAIAN BAHAN, ALAT DAN TENAGA</v>
          </cell>
        </row>
        <row r="159">
          <cell r="A159" t="str">
            <v xml:space="preserve">   1.</v>
          </cell>
          <cell r="C159" t="str">
            <v>BAHAN</v>
          </cell>
        </row>
        <row r="160">
          <cell r="A160" t="str">
            <v>1.a.</v>
          </cell>
          <cell r="C160" t="str">
            <v>Batu     -----&gt;</v>
          </cell>
          <cell r="D160" t="str">
            <v>{(Bt x D1 x 1 M3) : D2} x 1.20</v>
          </cell>
          <cell r="G160" t="str">
            <v>(M02)</v>
          </cell>
          <cell r="H160">
            <v>1.08</v>
          </cell>
          <cell r="I160" t="str">
            <v>M3</v>
          </cell>
          <cell r="J160" t="str">
            <v xml:space="preserve"> Lepas</v>
          </cell>
          <cell r="Q160" t="str">
            <v xml:space="preserve">JUMLAH HARGA BAHAN   </v>
          </cell>
          <cell r="U160">
            <v>316481.72810628742</v>
          </cell>
        </row>
        <row r="161">
          <cell r="A161" t="str">
            <v>1.b.</v>
          </cell>
          <cell r="C161" t="str">
            <v>Semen    ----&gt;</v>
          </cell>
          <cell r="D161" t="str">
            <v>Sm x {(Mr x D1 x 1 M3} : D3} x 1.05</v>
          </cell>
          <cell r="H161">
            <v>0.11200000000000002</v>
          </cell>
          <cell r="I161" t="str">
            <v>M3</v>
          </cell>
        </row>
        <row r="162">
          <cell r="D162" t="str">
            <v>x {D5 x (1000)}</v>
          </cell>
          <cell r="G162" t="str">
            <v>(M12)</v>
          </cell>
          <cell r="H162">
            <v>161</v>
          </cell>
          <cell r="I162" t="str">
            <v>Kg</v>
          </cell>
          <cell r="L162" t="str">
            <v>C.</v>
          </cell>
          <cell r="N162" t="str">
            <v>PERALATAN</v>
          </cell>
        </row>
        <row r="163">
          <cell r="A163" t="str">
            <v>1.c.</v>
          </cell>
          <cell r="C163" t="str">
            <v>Pasir    -----&gt;</v>
          </cell>
          <cell r="D163" t="str">
            <v>Ps x {(Mr x D1 x 1 M3) : D4} x 1.05</v>
          </cell>
          <cell r="G163" t="str">
            <v>(M01)</v>
          </cell>
          <cell r="H163">
            <v>0.48287425149700602</v>
          </cell>
          <cell r="I163" t="str">
            <v>M3</v>
          </cell>
        </row>
        <row r="164">
          <cell r="L164" t="str">
            <v>1.</v>
          </cell>
          <cell r="N164" t="str">
            <v>Conc. Mixer</v>
          </cell>
          <cell r="O164" t="str">
            <v>(E06)</v>
          </cell>
          <cell r="P164" t="str">
            <v>jam</v>
          </cell>
          <cell r="Q164">
            <v>0.52208835341365456</v>
          </cell>
          <cell r="R164">
            <v>47472.058636363639</v>
          </cell>
          <cell r="U164">
            <v>24784.60892661555</v>
          </cell>
        </row>
        <row r="165">
          <cell r="A165" t="str">
            <v>2.</v>
          </cell>
          <cell r="C165" t="str">
            <v>ALAT</v>
          </cell>
          <cell r="L165" t="str">
            <v>2.</v>
          </cell>
          <cell r="N165" t="str">
            <v>Alat Bantu</v>
          </cell>
          <cell r="P165" t="str">
            <v>Ls</v>
          </cell>
          <cell r="Q165">
            <v>1</v>
          </cell>
          <cell r="R165">
            <v>900</v>
          </cell>
          <cell r="U165">
            <v>900</v>
          </cell>
        </row>
        <row r="166">
          <cell r="A166" t="str">
            <v>2.a.</v>
          </cell>
          <cell r="C166" t="str">
            <v>CONCRETE MIXER</v>
          </cell>
          <cell r="G166" t="str">
            <v>(E06)</v>
          </cell>
        </row>
        <row r="167">
          <cell r="C167" t="str">
            <v>Kapasitas Alat</v>
          </cell>
          <cell r="G167" t="str">
            <v>V</v>
          </cell>
          <cell r="H167">
            <v>500</v>
          </cell>
          <cell r="I167" t="str">
            <v>Liter</v>
          </cell>
        </row>
        <row r="168">
          <cell r="C168" t="str">
            <v>Faktor Efisiensi Alat</v>
          </cell>
          <cell r="G168" t="str">
            <v>Fa</v>
          </cell>
          <cell r="H168">
            <v>0.83</v>
          </cell>
          <cell r="I168" t="str">
            <v>-</v>
          </cell>
        </row>
        <row r="169">
          <cell r="C169" t="str">
            <v>Waktu siklus   :</v>
          </cell>
          <cell r="D169" t="str">
            <v>(T1 + T2 + T3 + T4)</v>
          </cell>
        </row>
        <row r="170">
          <cell r="C170" t="str">
            <v>-  Memuat</v>
          </cell>
          <cell r="G170" t="str">
            <v>T1</v>
          </cell>
          <cell r="H170">
            <v>5</v>
          </cell>
          <cell r="I170" t="str">
            <v>menit</v>
          </cell>
        </row>
        <row r="171">
          <cell r="C171" t="str">
            <v>-  Mengaduk</v>
          </cell>
          <cell r="G171" t="str">
            <v>T2</v>
          </cell>
          <cell r="H171">
            <v>3.5</v>
          </cell>
          <cell r="I171" t="str">
            <v>menit</v>
          </cell>
          <cell r="Q171" t="str">
            <v xml:space="preserve">JUMLAH HARGA PERALATAN   </v>
          </cell>
          <cell r="U171">
            <v>25684.60892661555</v>
          </cell>
        </row>
        <row r="172">
          <cell r="C172" t="str">
            <v>-  Menuang</v>
          </cell>
          <cell r="G172" t="str">
            <v>T3</v>
          </cell>
          <cell r="H172">
            <v>3</v>
          </cell>
          <cell r="I172" t="str">
            <v>menit</v>
          </cell>
        </row>
        <row r="173">
          <cell r="C173" t="str">
            <v>-  Menunggu, dll.</v>
          </cell>
          <cell r="G173" t="str">
            <v>T4</v>
          </cell>
          <cell r="H173">
            <v>1.5</v>
          </cell>
          <cell r="I173" t="str">
            <v>menit</v>
          </cell>
          <cell r="L173" t="str">
            <v>D.</v>
          </cell>
          <cell r="N173" t="str">
            <v>JUMLAH HARGA TENAGA, BAHAN DAN PERALATAN  ( A + B + C )</v>
          </cell>
          <cell r="U173">
            <v>365473.83341844514</v>
          </cell>
        </row>
        <row r="174">
          <cell r="G174" t="str">
            <v>Ts1</v>
          </cell>
          <cell r="H174">
            <v>13</v>
          </cell>
          <cell r="I174" t="str">
            <v>menit</v>
          </cell>
          <cell r="L174" t="str">
            <v>E.</v>
          </cell>
          <cell r="N174" t="str">
            <v>OVERHEAD &amp; PROFIT</v>
          </cell>
          <cell r="P174">
            <v>10</v>
          </cell>
          <cell r="Q174" t="str">
            <v>%  x  D</v>
          </cell>
          <cell r="U174">
            <v>36547.383341844514</v>
          </cell>
        </row>
        <row r="175">
          <cell r="L175" t="str">
            <v>F.</v>
          </cell>
          <cell r="N175" t="str">
            <v>HARGA SATUAN PEKERJAAN  ( D + E )</v>
          </cell>
          <cell r="U175">
            <v>402021.21676028962</v>
          </cell>
        </row>
        <row r="176">
          <cell r="C176" t="str">
            <v>Kap. Prod. / jam  =</v>
          </cell>
          <cell r="D176" t="str">
            <v>V x Fa x 60</v>
          </cell>
          <cell r="G176" t="str">
            <v>Q1</v>
          </cell>
          <cell r="H176">
            <v>1.9153846153846155</v>
          </cell>
          <cell r="I176" t="str">
            <v>M3</v>
          </cell>
          <cell r="L176" t="str">
            <v>Note: 1</v>
          </cell>
          <cell r="N176" t="str">
            <v>SATUAN dapat berdasarkan atas jam operasi untuk Tenaga Kerja dan Peralatan, volume dan/atau ukuran</v>
          </cell>
        </row>
        <row r="177">
          <cell r="D177" t="str">
            <v>1000 x Ts1</v>
          </cell>
          <cell r="N177" t="str">
            <v>berat untuk bahan-bahan.</v>
          </cell>
        </row>
        <row r="178">
          <cell r="L178">
            <v>2</v>
          </cell>
          <cell r="N178" t="str">
            <v>Kuantitas satuan adalah kuantitas setiap komponen untuk menyelesaikan satu satuan pekerjaan dari nomor</v>
          </cell>
        </row>
        <row r="179">
          <cell r="C179" t="str">
            <v>Koefisien Alat / M3</v>
          </cell>
          <cell r="D179" t="str">
            <v xml:space="preserve">  =   1  :  Q1</v>
          </cell>
          <cell r="G179" t="str">
            <v>(E06)</v>
          </cell>
          <cell r="H179">
            <v>0.52208835341365456</v>
          </cell>
          <cell r="I179" t="str">
            <v>jam</v>
          </cell>
          <cell r="N179" t="str">
            <v>mata pembayaran.</v>
          </cell>
        </row>
        <row r="180">
          <cell r="L180">
            <v>3</v>
          </cell>
          <cell r="N180" t="str">
            <v>Biaya satuan untuk peralatan sudah termasuk bahan bakar, bahan habis dipakai dan operator.</v>
          </cell>
        </row>
        <row r="181">
          <cell r="L181">
            <v>4</v>
          </cell>
          <cell r="N181" t="str">
            <v>Biaya satuan sudah termasuk pengeluaran untuk seluruh pajak yang berkaitan (tetapi tidak termasuk PPN</v>
          </cell>
        </row>
        <row r="182">
          <cell r="N182" t="str">
            <v>yang dibayar dari kontrak) dan biaya-biaya lainnya.</v>
          </cell>
        </row>
        <row r="183">
          <cell r="J183" t="str">
            <v>Berlanjut ke halaman berikut</v>
          </cell>
        </row>
        <row r="184">
          <cell r="A184" t="str">
            <v>ITEM PEMBAYARAN NO.</v>
          </cell>
          <cell r="D184" t="str">
            <v>:  2.2</v>
          </cell>
          <cell r="J184" t="str">
            <v xml:space="preserve">Analisa EI-22 </v>
          </cell>
        </row>
        <row r="185">
          <cell r="A185" t="str">
            <v>JENIS PEKERJAAN</v>
          </cell>
          <cell r="D185" t="str">
            <v>:  Pasangan Batu Dengan Mortar untuk Saluran</v>
          </cell>
        </row>
        <row r="186">
          <cell r="A186" t="str">
            <v>SATUAN PEMBAYARAN</v>
          </cell>
          <cell r="D186" t="str">
            <v>:  M3</v>
          </cell>
          <cell r="J186" t="str">
            <v xml:space="preserve">         URAIAN ANALISA HARGA SATUAN</v>
          </cell>
        </row>
        <row r="187">
          <cell r="J187" t="str">
            <v>Lanjutan</v>
          </cell>
        </row>
        <row r="189">
          <cell r="A189" t="str">
            <v>No.</v>
          </cell>
          <cell r="C189" t="str">
            <v>U R A I A N</v>
          </cell>
          <cell r="G189" t="str">
            <v>KODE</v>
          </cell>
          <cell r="H189" t="str">
            <v>KOEF.</v>
          </cell>
          <cell r="I189" t="str">
            <v>SATUAN</v>
          </cell>
          <cell r="J189" t="str">
            <v>KETERANGAN</v>
          </cell>
        </row>
        <row r="193">
          <cell r="A193" t="str">
            <v>2.a.</v>
          </cell>
          <cell r="C193" t="str">
            <v>ALAT BANTU</v>
          </cell>
          <cell r="I193" t="str">
            <v>Lump Sum</v>
          </cell>
        </row>
        <row r="194">
          <cell r="C194" t="str">
            <v>Diperlukan  :</v>
          </cell>
        </row>
        <row r="195">
          <cell r="C195" t="str">
            <v>- Sekop</v>
          </cell>
          <cell r="D195" t="str">
            <v>=  4  buah</v>
          </cell>
        </row>
        <row r="196">
          <cell r="C196" t="str">
            <v>- Pacul</v>
          </cell>
          <cell r="D196" t="str">
            <v>=  4  buah</v>
          </cell>
        </row>
        <row r="197">
          <cell r="C197" t="str">
            <v>- Sendok Semen</v>
          </cell>
          <cell r="D197" t="str">
            <v>=  4  buah</v>
          </cell>
        </row>
        <row r="198">
          <cell r="C198" t="str">
            <v>- Ember Cor</v>
          </cell>
          <cell r="D198" t="str">
            <v>=  8  buah</v>
          </cell>
        </row>
        <row r="199">
          <cell r="C199" t="str">
            <v>- Gerobak Dorong</v>
          </cell>
          <cell r="D199" t="str">
            <v>=  3  buah</v>
          </cell>
        </row>
        <row r="203">
          <cell r="A203" t="str">
            <v>3.</v>
          </cell>
          <cell r="C203" t="str">
            <v>TENAGA</v>
          </cell>
        </row>
        <row r="204">
          <cell r="C204" t="str">
            <v>Produksi Pas. Batu yang menentukan</v>
          </cell>
          <cell r="E204" t="str">
            <v>( Prod. C. Mixer )</v>
          </cell>
          <cell r="G204" t="str">
            <v>Q1</v>
          </cell>
          <cell r="H204">
            <v>1.9153846153846155</v>
          </cell>
          <cell r="I204" t="str">
            <v>M3/Jam</v>
          </cell>
        </row>
        <row r="205">
          <cell r="C205" t="str">
            <v>Produksi Pasangan Batu dalam 1 hari  =  Tk x Q1</v>
          </cell>
          <cell r="G205" t="str">
            <v>Qt</v>
          </cell>
          <cell r="H205">
            <v>13.407692307692308</v>
          </cell>
          <cell r="I205" t="str">
            <v>M3</v>
          </cell>
        </row>
        <row r="207">
          <cell r="C207" t="str">
            <v>Kebutuhan tenaga :</v>
          </cell>
          <cell r="D207" t="str">
            <v>- Mandor</v>
          </cell>
          <cell r="G207" t="str">
            <v>M</v>
          </cell>
          <cell r="H207">
            <v>1</v>
          </cell>
          <cell r="I207" t="str">
            <v>orang</v>
          </cell>
        </row>
        <row r="208">
          <cell r="D208" t="str">
            <v>- Tukang Batu</v>
          </cell>
          <cell r="G208" t="str">
            <v>Tb</v>
          </cell>
          <cell r="H208">
            <v>3</v>
          </cell>
          <cell r="I208" t="str">
            <v>orang</v>
          </cell>
        </row>
        <row r="209">
          <cell r="D209" t="str">
            <v>- Pekerja</v>
          </cell>
          <cell r="G209" t="str">
            <v>P</v>
          </cell>
          <cell r="H209">
            <v>10</v>
          </cell>
          <cell r="I209" t="str">
            <v>orang</v>
          </cell>
        </row>
        <row r="211">
          <cell r="C211" t="str">
            <v>Koefisien Tenaga / M3   :</v>
          </cell>
        </row>
        <row r="212">
          <cell r="D212" t="str">
            <v>-  Mandor</v>
          </cell>
          <cell r="E212" t="str">
            <v>= (Tk x M) : Qt</v>
          </cell>
          <cell r="G212" t="str">
            <v>(L03)</v>
          </cell>
          <cell r="H212">
            <v>0.52208835341365456</v>
          </cell>
          <cell r="I212" t="str">
            <v>jam</v>
          </cell>
        </row>
        <row r="213">
          <cell r="D213" t="str">
            <v>-  Tukang</v>
          </cell>
          <cell r="E213" t="str">
            <v>= (Tk x Tb) : Qt</v>
          </cell>
          <cell r="G213" t="str">
            <v>(L02)</v>
          </cell>
          <cell r="H213">
            <v>1.5662650602409638</v>
          </cell>
          <cell r="I213" t="str">
            <v>jam</v>
          </cell>
        </row>
        <row r="214">
          <cell r="D214" t="str">
            <v>-  Pekerja</v>
          </cell>
          <cell r="E214" t="str">
            <v>= (Tk x P) : Qt</v>
          </cell>
          <cell r="G214" t="str">
            <v>(L01)</v>
          </cell>
          <cell r="H214">
            <v>5.2208835341365463</v>
          </cell>
          <cell r="I214" t="str">
            <v>jam</v>
          </cell>
        </row>
        <row r="216">
          <cell r="A216" t="str">
            <v>4.</v>
          </cell>
          <cell r="C216" t="str">
            <v>HARGA DASAR SATUAN UPAH, BAHAN DAN ALAT</v>
          </cell>
        </row>
        <row r="217">
          <cell r="C217" t="str">
            <v>Lihat lampiran.</v>
          </cell>
        </row>
        <row r="219">
          <cell r="A219" t="str">
            <v>5.</v>
          </cell>
          <cell r="C219" t="str">
            <v>ANALISA HARGA SATUAN PEKERJAAN</v>
          </cell>
        </row>
        <row r="220">
          <cell r="C220" t="str">
            <v>Lihat perhitungan dalam FORMULIR STANDAR UNTUK</v>
          </cell>
        </row>
        <row r="221">
          <cell r="C221" t="str">
            <v>PEREKEMAN ANALISA MASING-MASING HARGA</v>
          </cell>
        </row>
        <row r="222">
          <cell r="C222" t="str">
            <v>SATUAN.</v>
          </cell>
        </row>
        <row r="223">
          <cell r="C223" t="str">
            <v>Didapat Harga Satuan Pekerjaan :</v>
          </cell>
        </row>
        <row r="225">
          <cell r="C225" t="str">
            <v xml:space="preserve">Rp.  </v>
          </cell>
          <cell r="D225">
            <v>402021.21676028962</v>
          </cell>
          <cell r="E225" t="str">
            <v xml:space="preserve"> / M3</v>
          </cell>
        </row>
        <row r="228">
          <cell r="A228" t="str">
            <v>6.</v>
          </cell>
          <cell r="C228" t="str">
            <v>WAKTU PELAKSANAAN YANG DIPERLUKAN</v>
          </cell>
        </row>
        <row r="229">
          <cell r="C229" t="str">
            <v>Masa Pelaksanaan :</v>
          </cell>
          <cell r="D229" t="str">
            <v>. . . . . . . . . . . .</v>
          </cell>
          <cell r="E229" t="str">
            <v>bulan</v>
          </cell>
        </row>
        <row r="231">
          <cell r="A231" t="str">
            <v>7.</v>
          </cell>
          <cell r="C231" t="str">
            <v>VOLUME PEKERJAAN YANG DIPERLUKAN</v>
          </cell>
        </row>
        <row r="232">
          <cell r="C232" t="str">
            <v>Volume pekerjaan  :</v>
          </cell>
          <cell r="D232">
            <v>1</v>
          </cell>
          <cell r="E232" t="str">
            <v>M3</v>
          </cell>
        </row>
        <row r="243">
          <cell r="A243" t="str">
            <v>ITEM PEMBAYARAN NO.</v>
          </cell>
          <cell r="D243" t="str">
            <v>:  2.3 (1)</v>
          </cell>
          <cell r="J243" t="str">
            <v xml:space="preserve">Analisa EI-231 </v>
          </cell>
        </row>
        <row r="244">
          <cell r="A244" t="str">
            <v>JENIS PEKERJAAN</v>
          </cell>
          <cell r="D244" t="str">
            <v>:  Gorong2 Pipa Beton Bertulang Diameter &lt; 500 mm</v>
          </cell>
          <cell r="L244" t="str">
            <v>FORMULIR STANDAR UNTUK</v>
          </cell>
        </row>
        <row r="245">
          <cell r="A245" t="str">
            <v>SATUAN PEMBAYARAN</v>
          </cell>
          <cell r="D245" t="str">
            <v>:  M1</v>
          </cell>
          <cell r="J245" t="str">
            <v xml:space="preserve">         URAIAN ANALISA HARGA SATUAN</v>
          </cell>
          <cell r="L245" t="str">
            <v>PEREKAMAN ANALISA MASING-MASING HARGA SATUAN</v>
          </cell>
        </row>
        <row r="246">
          <cell r="L246" t="str">
            <v xml:space="preserve">                                                                                                            </v>
          </cell>
        </row>
        <row r="248">
          <cell r="A248" t="str">
            <v>No.</v>
          </cell>
          <cell r="C248" t="str">
            <v>U R A I A N</v>
          </cell>
          <cell r="G248" t="str">
            <v>KODE</v>
          </cell>
          <cell r="H248" t="str">
            <v>KOEF.</v>
          </cell>
          <cell r="I248" t="str">
            <v>SATUAN</v>
          </cell>
          <cell r="J248" t="str">
            <v>KETERANGAN</v>
          </cell>
        </row>
        <row r="249">
          <cell r="L249" t="str">
            <v>PROYEK</v>
          </cell>
          <cell r="O249" t="str">
            <v>:</v>
          </cell>
        </row>
        <row r="250">
          <cell r="L250" t="str">
            <v>No. PAKET KONTRAK</v>
          </cell>
          <cell r="O250" t="str">
            <v>:</v>
          </cell>
        </row>
        <row r="251">
          <cell r="A251" t="str">
            <v>I.</v>
          </cell>
          <cell r="C251" t="str">
            <v>ASUMSI</v>
          </cell>
          <cell r="L251" t="str">
            <v>NAMA PAKET</v>
          </cell>
          <cell r="O251" t="str">
            <v>:</v>
          </cell>
        </row>
        <row r="252">
          <cell r="A252">
            <v>1</v>
          </cell>
          <cell r="C252" t="str">
            <v>Pekerjaan dilakukan secara mekanik/manual</v>
          </cell>
          <cell r="L252" t="str">
            <v>PROP / KAB / KODYA</v>
          </cell>
          <cell r="O252" t="str">
            <v>:</v>
          </cell>
        </row>
        <row r="253">
          <cell r="A253">
            <v>2</v>
          </cell>
          <cell r="C253" t="str">
            <v>Lokasi pekerjaan : sepanjang jalan</v>
          </cell>
          <cell r="L253" t="str">
            <v>ITEM PEMBAYARAN NO.</v>
          </cell>
          <cell r="O253" t="str">
            <v>:  2.3 (1)</v>
          </cell>
          <cell r="R253" t="str">
            <v>PERKIRAAN VOL. PEK.</v>
          </cell>
          <cell r="T253" t="str">
            <v>:</v>
          </cell>
          <cell r="U253">
            <v>1</v>
          </cell>
        </row>
        <row r="254">
          <cell r="A254">
            <v>3</v>
          </cell>
          <cell r="C254" t="str">
            <v>Diameter bagian dalam gorong-gorong</v>
          </cell>
          <cell r="G254" t="str">
            <v>d</v>
          </cell>
          <cell r="H254">
            <v>0.5</v>
          </cell>
          <cell r="I254" t="str">
            <v>m</v>
          </cell>
          <cell r="L254" t="str">
            <v>JENIS PEKERJAAN</v>
          </cell>
          <cell r="O254" t="str">
            <v>:  Gorong2 Pipa Beton Bertulang Diameter &lt; 500 mm</v>
          </cell>
          <cell r="R254" t="str">
            <v>TOTAL HARGA (Rp.)</v>
          </cell>
          <cell r="T254" t="str">
            <v>:</v>
          </cell>
          <cell r="U254">
            <v>218715.29344341051</v>
          </cell>
        </row>
        <row r="255">
          <cell r="A255">
            <v>4</v>
          </cell>
          <cell r="C255" t="str">
            <v>Jarak rata-rata Base Camp ke lokasi pekerjaan</v>
          </cell>
          <cell r="G255" t="str">
            <v>L</v>
          </cell>
          <cell r="H255">
            <v>8.7249999999999996</v>
          </cell>
          <cell r="I255" t="str">
            <v>Km</v>
          </cell>
          <cell r="L255" t="str">
            <v>SATUAN PEMBAYARAN</v>
          </cell>
          <cell r="O255" t="str">
            <v>:  M1</v>
          </cell>
          <cell r="Q255">
            <v>0</v>
          </cell>
          <cell r="R255" t="str">
            <v>% THD. BIAYA PROYEK</v>
          </cell>
          <cell r="T255" t="str">
            <v>:</v>
          </cell>
          <cell r="U255" t="e">
            <v>#DIV/0!</v>
          </cell>
        </row>
        <row r="256">
          <cell r="A256">
            <v>5</v>
          </cell>
          <cell r="C256" t="str">
            <v>Jam kerja efektif per-hari</v>
          </cell>
          <cell r="G256" t="str">
            <v>Tk</v>
          </cell>
          <cell r="H256">
            <v>7</v>
          </cell>
          <cell r="I256" t="str">
            <v>jam</v>
          </cell>
        </row>
        <row r="257">
          <cell r="A257">
            <v>6</v>
          </cell>
          <cell r="C257" t="str">
            <v>Tebal gorong-gorong</v>
          </cell>
          <cell r="G257" t="str">
            <v>tg</v>
          </cell>
          <cell r="H257">
            <v>6.5</v>
          </cell>
          <cell r="I257" t="str">
            <v>Cm</v>
          </cell>
        </row>
        <row r="258">
          <cell r="Q258" t="str">
            <v>PERKIRAAN</v>
          </cell>
          <cell r="R258" t="str">
            <v>HARGA</v>
          </cell>
          <cell r="S258" t="str">
            <v>JUMLAH</v>
          </cell>
        </row>
        <row r="259">
          <cell r="A259" t="str">
            <v>II.</v>
          </cell>
          <cell r="C259" t="str">
            <v>URUTAN KERJA</v>
          </cell>
          <cell r="L259" t="str">
            <v>NO.</v>
          </cell>
          <cell r="N259" t="str">
            <v>KOMPONEN</v>
          </cell>
          <cell r="P259" t="str">
            <v>SATUAN</v>
          </cell>
          <cell r="Q259" t="str">
            <v>KUANTITAS</v>
          </cell>
          <cell r="R259" t="str">
            <v>SATUAN</v>
          </cell>
          <cell r="S259" t="str">
            <v>HARGA</v>
          </cell>
        </row>
        <row r="260">
          <cell r="A260">
            <v>1</v>
          </cell>
          <cell r="C260" t="str">
            <v>Gorong-gorong dicetak di Base Camp</v>
          </cell>
          <cell r="R260" t="str">
            <v>(Rp.)</v>
          </cell>
          <cell r="S260" t="str">
            <v>(Rp.)</v>
          </cell>
        </row>
        <row r="261">
          <cell r="A261">
            <v>2</v>
          </cell>
          <cell r="C261" t="str">
            <v>Dump Truck mengangkut gorong-gorong jadi</v>
          </cell>
        </row>
        <row r="262">
          <cell r="C262" t="str">
            <v>ke lapangan</v>
          </cell>
        </row>
        <row r="263">
          <cell r="A263">
            <v>3</v>
          </cell>
          <cell r="C263" t="str">
            <v>Dasar gorong-gorong digali sesuai kebutuhan dan ma-</v>
          </cell>
          <cell r="L263" t="str">
            <v>A.</v>
          </cell>
          <cell r="N263" t="str">
            <v>TENAGA</v>
          </cell>
        </row>
        <row r="264">
          <cell r="C264" t="str">
            <v>terial backfill dipadatkan dengan Tamper</v>
          </cell>
        </row>
        <row r="265">
          <cell r="A265">
            <v>4</v>
          </cell>
          <cell r="C265" t="str">
            <v>Tebal lapis porus pada dasar gorong-gorong pipa</v>
          </cell>
          <cell r="G265" t="str">
            <v>tp</v>
          </cell>
          <cell r="H265">
            <v>0.1</v>
          </cell>
          <cell r="I265" t="str">
            <v>M</v>
          </cell>
          <cell r="J265" t="str">
            <v xml:space="preserve"> Sand bedding</v>
          </cell>
          <cell r="L265" t="str">
            <v>1.</v>
          </cell>
          <cell r="N265" t="str">
            <v>Pekerja</v>
          </cell>
          <cell r="O265" t="str">
            <v>(L01)</v>
          </cell>
          <cell r="P265" t="str">
            <v>jam</v>
          </cell>
          <cell r="Q265">
            <v>2.3333333333333335</v>
          </cell>
          <cell r="R265">
            <v>2857.14</v>
          </cell>
          <cell r="U265">
            <v>6666.66</v>
          </cell>
        </row>
        <row r="266">
          <cell r="A266">
            <v>5</v>
          </cell>
          <cell r="C266" t="str">
            <v>Material pilihan untuk penimbunan kembali (padat)</v>
          </cell>
          <cell r="L266" t="str">
            <v>2.</v>
          </cell>
          <cell r="N266" t="str">
            <v>Tukang</v>
          </cell>
          <cell r="O266" t="str">
            <v>(L02)</v>
          </cell>
          <cell r="P266" t="str">
            <v>jam</v>
          </cell>
          <cell r="Q266">
            <v>0.93333333333333335</v>
          </cell>
          <cell r="R266">
            <v>4285.71</v>
          </cell>
          <cell r="U266">
            <v>3999.9960000000001</v>
          </cell>
        </row>
        <row r="267">
          <cell r="A267">
            <v>6</v>
          </cell>
          <cell r="C267" t="str">
            <v>Sekelompok pekerja akan melaksanakan pekerjaan</v>
          </cell>
          <cell r="L267" t="str">
            <v>3.</v>
          </cell>
          <cell r="N267" t="str">
            <v>Mandor</v>
          </cell>
          <cell r="O267" t="str">
            <v>(L03)</v>
          </cell>
          <cell r="P267" t="str">
            <v>jam</v>
          </cell>
          <cell r="Q267">
            <v>0.46666666666666667</v>
          </cell>
          <cell r="R267">
            <v>3214.29</v>
          </cell>
          <cell r="U267">
            <v>1500.002</v>
          </cell>
        </row>
        <row r="268">
          <cell r="C268" t="str">
            <v>dengan cara manual dengan menggunakan alat bantu</v>
          </cell>
        </row>
        <row r="269">
          <cell r="Q269" t="str">
            <v xml:space="preserve">JUMLAH HARGA TENAGA   </v>
          </cell>
          <cell r="U269">
            <v>12166.657999999999</v>
          </cell>
        </row>
        <row r="271">
          <cell r="A271" t="str">
            <v>III.</v>
          </cell>
          <cell r="C271" t="str">
            <v>PEMAKAIAN BAHAN, ALAT DAN TENAGA</v>
          </cell>
          <cell r="L271" t="str">
            <v>B.</v>
          </cell>
          <cell r="N271" t="str">
            <v>BAHAN</v>
          </cell>
        </row>
        <row r="272">
          <cell r="A272" t="str">
            <v xml:space="preserve">   1.</v>
          </cell>
          <cell r="C272" t="str">
            <v>BAHAN</v>
          </cell>
        </row>
        <row r="273">
          <cell r="C273" t="str">
            <v>Untuk mendapatkan 1 M' gorong-gorong diperlukan</v>
          </cell>
          <cell r="L273" t="str">
            <v>1.</v>
          </cell>
          <cell r="N273" t="str">
            <v>Beton K-300</v>
          </cell>
          <cell r="O273" t="str">
            <v>(EI-714)</v>
          </cell>
          <cell r="P273" t="str">
            <v>M3</v>
          </cell>
          <cell r="Q273">
            <v>0.11537499020308517</v>
          </cell>
          <cell r="R273">
            <v>652902.54982502444</v>
          </cell>
          <cell r="U273">
            <v>75328.625289631527</v>
          </cell>
        </row>
        <row r="274">
          <cell r="C274" t="str">
            <v>- Beton K-300 = (22/7*((2*tg/100+d)/2)^2)-(22/7*(d/2)^2))*1</v>
          </cell>
          <cell r="G274" t="str">
            <v>(EI-714)</v>
          </cell>
          <cell r="H274">
            <v>0.11537499020308517</v>
          </cell>
          <cell r="I274" t="str">
            <v>M3</v>
          </cell>
          <cell r="L274" t="str">
            <v>2.</v>
          </cell>
          <cell r="N274" t="str">
            <v>Baja Tulangan</v>
          </cell>
          <cell r="O274" t="str">
            <v>(M39)</v>
          </cell>
          <cell r="P274" t="str">
            <v>Kg</v>
          </cell>
          <cell r="Q274">
            <v>12.691248922339369</v>
          </cell>
          <cell r="R274">
            <v>4000</v>
          </cell>
          <cell r="U274">
            <v>50764.995689357478</v>
          </cell>
        </row>
        <row r="275">
          <cell r="C275" t="str">
            <v>- Baja Tulangan (asumsi 100kg/m3)</v>
          </cell>
          <cell r="G275" t="str">
            <v>(M39)</v>
          </cell>
          <cell r="H275">
            <v>12.691248922339369</v>
          </cell>
          <cell r="I275" t="str">
            <v>Kg</v>
          </cell>
          <cell r="L275" t="str">
            <v>3.</v>
          </cell>
          <cell r="N275" t="str">
            <v>Urugan Porus</v>
          </cell>
          <cell r="O275" t="str">
            <v>(EI-241)</v>
          </cell>
          <cell r="P275" t="str">
            <v>M3</v>
          </cell>
          <cell r="Q275">
            <v>0.12915000000000001</v>
          </cell>
          <cell r="R275">
            <v>186901.40625406182</v>
          </cell>
          <cell r="U275">
            <v>24138.316617712087</v>
          </cell>
        </row>
        <row r="276">
          <cell r="C276" t="str">
            <v>- Timbunan Porus      = {(tp*(0.3+2*tg/100+d+0.3)*1)*1.05}</v>
          </cell>
          <cell r="G276" t="str">
            <v>(EI-241)</v>
          </cell>
          <cell r="H276">
            <v>0.12915000000000001</v>
          </cell>
          <cell r="I276" t="str">
            <v>M3</v>
          </cell>
          <cell r="L276" t="str">
            <v>4.</v>
          </cell>
          <cell r="N276" t="str">
            <v>Mat. Pilihan</v>
          </cell>
          <cell r="O276" t="str">
            <v>(M09)</v>
          </cell>
          <cell r="P276" t="str">
            <v>M3</v>
          </cell>
          <cell r="Q276">
            <v>0.87365249999999994</v>
          </cell>
          <cell r="R276">
            <v>25000</v>
          </cell>
          <cell r="U276">
            <v>21841.3125</v>
          </cell>
        </row>
        <row r="277">
          <cell r="C277" t="str">
            <v>- Material Pilihan</v>
          </cell>
          <cell r="D277" t="str">
            <v>= ((2*tg/100+d+0.3)*(0.3+2*tg/100+d+0.3)</v>
          </cell>
          <cell r="G277" t="str">
            <v>(M09)</v>
          </cell>
          <cell r="H277">
            <v>0.87365249999999994</v>
          </cell>
          <cell r="I277" t="str">
            <v>M3</v>
          </cell>
          <cell r="J277" t="str">
            <v xml:space="preserve"> = Vp</v>
          </cell>
        </row>
        <row r="278">
          <cell r="D278" t="str">
            <v xml:space="preserve">   -(22/7*(0.5*(2*tg/100+d))^2))*1*1.05</v>
          </cell>
        </row>
        <row r="279">
          <cell r="A279" t="str">
            <v xml:space="preserve">   2.</v>
          </cell>
          <cell r="C279" t="str">
            <v>ALAT</v>
          </cell>
          <cell r="Q279" t="str">
            <v xml:space="preserve">JUMLAH HARGA BAHAN   </v>
          </cell>
          <cell r="U279">
            <v>172073.25009670109</v>
          </cell>
        </row>
        <row r="280">
          <cell r="A280" t="str">
            <v>2.a.</v>
          </cell>
          <cell r="C280" t="str">
            <v>TAMPER</v>
          </cell>
          <cell r="G280" t="str">
            <v>(E25)</v>
          </cell>
        </row>
        <row r="281">
          <cell r="C281" t="str">
            <v>Kecepatan</v>
          </cell>
          <cell r="G281" t="str">
            <v>v</v>
          </cell>
          <cell r="H281">
            <v>0.5</v>
          </cell>
          <cell r="I281" t="str">
            <v>Km / Jam</v>
          </cell>
          <cell r="L281" t="str">
            <v>C.</v>
          </cell>
          <cell r="N281" t="str">
            <v>PERALATAN</v>
          </cell>
        </row>
        <row r="282">
          <cell r="C282" t="str">
            <v>Efisiensi alat</v>
          </cell>
          <cell r="G282" t="str">
            <v>Fa</v>
          </cell>
          <cell r="H282">
            <v>0.83</v>
          </cell>
          <cell r="I282" t="str">
            <v>-</v>
          </cell>
        </row>
        <row r="283">
          <cell r="C283" t="str">
            <v>Lebar pemadatan</v>
          </cell>
          <cell r="G283" t="str">
            <v>Lb</v>
          </cell>
          <cell r="H283">
            <v>0.4</v>
          </cell>
          <cell r="I283" t="str">
            <v>M</v>
          </cell>
          <cell r="L283" t="str">
            <v>1.</v>
          </cell>
          <cell r="N283" t="str">
            <v>Tamper</v>
          </cell>
          <cell r="O283" t="str">
            <v>(E25)</v>
          </cell>
          <cell r="P283" t="str">
            <v>jam</v>
          </cell>
          <cell r="Q283">
            <v>0.26314834337349391</v>
          </cell>
          <cell r="R283">
            <v>18672.16854694486</v>
          </cell>
          <cell r="U283">
            <v>4913.5502203191991</v>
          </cell>
        </row>
        <row r="284">
          <cell r="C284" t="str">
            <v>Banyak lintasan</v>
          </cell>
          <cell r="G284" t="str">
            <v>n</v>
          </cell>
          <cell r="H284">
            <v>10</v>
          </cell>
          <cell r="I284" t="str">
            <v>lintasan</v>
          </cell>
          <cell r="L284" t="str">
            <v>2.</v>
          </cell>
          <cell r="N284" t="str">
            <v>Dump Truck</v>
          </cell>
          <cell r="O284" t="str">
            <v>(E08)</v>
          </cell>
          <cell r="P284" t="str">
            <v>jam</v>
          </cell>
          <cell r="Q284">
            <v>5.9738955823293166E-2</v>
          </cell>
          <cell r="R284">
            <v>153645.58193291764</v>
          </cell>
          <cell r="U284">
            <v>9178.6266315347384</v>
          </cell>
        </row>
        <row r="285">
          <cell r="C285" t="str">
            <v>Tebal lapis hamparan</v>
          </cell>
          <cell r="G285" t="str">
            <v>tp</v>
          </cell>
          <cell r="H285">
            <v>0.2</v>
          </cell>
          <cell r="I285" t="str">
            <v>M</v>
          </cell>
          <cell r="L285" t="str">
            <v>3.</v>
          </cell>
          <cell r="N285" t="str">
            <v>Alat  Bantu</v>
          </cell>
          <cell r="P285" t="str">
            <v>Ls</v>
          </cell>
          <cell r="Q285">
            <v>1</v>
          </cell>
          <cell r="R285">
            <v>500</v>
          </cell>
          <cell r="U285">
            <v>500</v>
          </cell>
        </row>
        <row r="288">
          <cell r="C288" t="str">
            <v>Kap. Prod. / Jam   =</v>
          </cell>
          <cell r="D288" t="str">
            <v>v x 1000 x Fa x Lb x 60</v>
          </cell>
          <cell r="G288" t="str">
            <v>Q1</v>
          </cell>
          <cell r="H288">
            <v>3.3200000000000003</v>
          </cell>
          <cell r="I288" t="str">
            <v xml:space="preserve">M3 / Jam </v>
          </cell>
        </row>
        <row r="289">
          <cell r="D289" t="str">
            <v xml:space="preserve">    n x tp</v>
          </cell>
        </row>
        <row r="291">
          <cell r="C291" t="str">
            <v>Koefisien Alat / m'</v>
          </cell>
          <cell r="D291" t="str">
            <v xml:space="preserve"> =  1  :  Q1 x Vp</v>
          </cell>
          <cell r="G291" t="str">
            <v>(E25)</v>
          </cell>
          <cell r="H291">
            <v>0.26314834337349391</v>
          </cell>
          <cell r="I291" t="str">
            <v>jam</v>
          </cell>
          <cell r="Q291" t="str">
            <v xml:space="preserve">JUMLAH HARGA PERALATAN   </v>
          </cell>
          <cell r="U291">
            <v>14592.176851853937</v>
          </cell>
        </row>
        <row r="293">
          <cell r="A293" t="str">
            <v>2.b.</v>
          </cell>
          <cell r="C293" t="str">
            <v>DUMP TRUCK</v>
          </cell>
          <cell r="G293" t="str">
            <v>(E08)</v>
          </cell>
          <cell r="L293" t="str">
            <v>D.</v>
          </cell>
          <cell r="N293" t="str">
            <v>JUMLAH HARGA TENAGA, BAHAN DAN PERALATAN  ( A + B + C )</v>
          </cell>
          <cell r="U293">
            <v>198832.08494855501</v>
          </cell>
        </row>
        <row r="294">
          <cell r="C294" t="str">
            <v>Kapasitas bak sekali muat</v>
          </cell>
          <cell r="G294" t="str">
            <v>V</v>
          </cell>
          <cell r="H294">
            <v>15</v>
          </cell>
          <cell r="I294" t="str">
            <v>Buah/M'</v>
          </cell>
          <cell r="L294" t="str">
            <v>E.</v>
          </cell>
          <cell r="N294" t="str">
            <v>OVERHEAD &amp; PROFIT</v>
          </cell>
          <cell r="P294">
            <v>10</v>
          </cell>
          <cell r="Q294" t="str">
            <v>%  x  D</v>
          </cell>
          <cell r="U294">
            <v>19883.208494855502</v>
          </cell>
        </row>
        <row r="295">
          <cell r="C295" t="str">
            <v>Faktor efisiensi alat</v>
          </cell>
          <cell r="G295" t="str">
            <v>Fa</v>
          </cell>
          <cell r="H295">
            <v>0.83</v>
          </cell>
          <cell r="L295" t="str">
            <v>F.</v>
          </cell>
          <cell r="N295" t="str">
            <v>HARGA SATUAN PEKERJAAN  ( D + E )</v>
          </cell>
          <cell r="U295">
            <v>218715.29344341051</v>
          </cell>
        </row>
        <row r="296">
          <cell r="C296" t="str">
            <v>Kecepatanrata-rata bermuatan</v>
          </cell>
          <cell r="G296" t="str">
            <v>v1</v>
          </cell>
          <cell r="H296">
            <v>20</v>
          </cell>
          <cell r="I296" t="str">
            <v>Km/Jam</v>
          </cell>
          <cell r="L296" t="str">
            <v>Note: 1</v>
          </cell>
          <cell r="N296" t="str">
            <v>SATUAN dapat berdasarkan atas jam operasi untuk Tenaga Kerja dan Peralatan, volume dan/atau ukuran</v>
          </cell>
        </row>
        <row r="297">
          <cell r="C297" t="str">
            <v>Kecepatan rata-rata kosong</v>
          </cell>
          <cell r="G297" t="str">
            <v>v2</v>
          </cell>
          <cell r="H297">
            <v>30</v>
          </cell>
          <cell r="I297" t="str">
            <v>Km/Jam</v>
          </cell>
          <cell r="N297" t="str">
            <v>berat untuk bahan-bahan.</v>
          </cell>
        </row>
        <row r="298">
          <cell r="C298" t="str">
            <v>Waktu siklus    :</v>
          </cell>
          <cell r="G298" t="str">
            <v>Ts1</v>
          </cell>
          <cell r="L298">
            <v>2</v>
          </cell>
          <cell r="N298" t="str">
            <v>Kuantitas satuan adalah kuantitas setiap komponen untuk menyelesaikan satu satuan pekerjaan dari nomor</v>
          </cell>
        </row>
        <row r="299">
          <cell r="C299" t="str">
            <v>- Waktu  tempuh in  si  = (L : v1 ) x 60</v>
          </cell>
          <cell r="G299" t="str">
            <v>T1</v>
          </cell>
          <cell r="H299">
            <v>26.174999999999997</v>
          </cell>
          <cell r="I299" t="str">
            <v>menit</v>
          </cell>
          <cell r="N299" t="str">
            <v>mata pembayaran.</v>
          </cell>
        </row>
        <row r="300">
          <cell r="C300" t="str">
            <v>-  Waktutempuh kosong  = (L : v2)  x  60</v>
          </cell>
          <cell r="G300" t="str">
            <v>T2</v>
          </cell>
          <cell r="H300">
            <v>17.45</v>
          </cell>
          <cell r="I300" t="str">
            <v>menit</v>
          </cell>
          <cell r="L300">
            <v>3</v>
          </cell>
          <cell r="N300" t="str">
            <v>Biaya satuan untuk peralatan sudah termasuk bahan bakar, bahan habis dipakai dan operator.</v>
          </cell>
        </row>
        <row r="301">
          <cell r="C301" t="str">
            <v>-  Muat, bongkar dan lain-lain</v>
          </cell>
          <cell r="G301" t="str">
            <v>T3</v>
          </cell>
          <cell r="H301">
            <v>1</v>
          </cell>
          <cell r="I301" t="str">
            <v>menit</v>
          </cell>
          <cell r="L301">
            <v>4</v>
          </cell>
          <cell r="N301" t="str">
            <v>Biaya satuan sudah termasuk pengeluaran untuk seluruh pajak yang berkaitan (tetapi tidak termasuk PPN</v>
          </cell>
        </row>
        <row r="302">
          <cell r="G302" t="str">
            <v>Ts1</v>
          </cell>
          <cell r="H302">
            <v>44.625</v>
          </cell>
          <cell r="I302" t="str">
            <v>menit</v>
          </cell>
          <cell r="N302" t="str">
            <v>yang dibayar dari kontrak) dan biaya-biaya lainnya.</v>
          </cell>
        </row>
        <row r="303">
          <cell r="J303" t="str">
            <v>Berlanjut ke halaman berikut</v>
          </cell>
        </row>
        <row r="304">
          <cell r="A304" t="str">
            <v>ITEM PEMBAYARAN NO.</v>
          </cell>
          <cell r="D304" t="str">
            <v>:  2.3 (1)</v>
          </cell>
          <cell r="J304" t="str">
            <v xml:space="preserve">Analisa EI-231 </v>
          </cell>
        </row>
        <row r="305">
          <cell r="A305" t="str">
            <v>JENIS PEKERJAAN</v>
          </cell>
          <cell r="D305" t="str">
            <v>:  Gorong2 Pipa Beton Bertulang Diameter &lt; 500 mm</v>
          </cell>
        </row>
        <row r="306">
          <cell r="A306" t="str">
            <v>SATUAN PEMBAYARAN</v>
          </cell>
          <cell r="D306" t="str">
            <v>:  M1</v>
          </cell>
          <cell r="J306" t="str">
            <v xml:space="preserve">         URAIAN ANALISA HARGA SATUAN</v>
          </cell>
        </row>
        <row r="307">
          <cell r="J307" t="str">
            <v>Lanjutan</v>
          </cell>
        </row>
        <row r="309">
          <cell r="A309" t="str">
            <v>No.</v>
          </cell>
          <cell r="C309" t="str">
            <v>U R A I A N</v>
          </cell>
          <cell r="G309" t="str">
            <v>KODE</v>
          </cell>
          <cell r="H309" t="str">
            <v>KOEF.</v>
          </cell>
          <cell r="I309" t="str">
            <v>SATUAN</v>
          </cell>
          <cell r="J309" t="str">
            <v>KETERANGAN</v>
          </cell>
        </row>
        <row r="312">
          <cell r="C312" t="str">
            <v>Kapasitas Produksi / Jam   =</v>
          </cell>
          <cell r="E312" t="str">
            <v>V x Fa x 60</v>
          </cell>
          <cell r="G312" t="str">
            <v>Q2</v>
          </cell>
          <cell r="H312">
            <v>16.739495798319329</v>
          </cell>
          <cell r="I312" t="str">
            <v xml:space="preserve">M' / Jam </v>
          </cell>
        </row>
        <row r="313">
          <cell r="E313" t="str">
            <v>Ts1</v>
          </cell>
        </row>
        <row r="315">
          <cell r="C315" t="str">
            <v>Koefisien Alat / m'</v>
          </cell>
          <cell r="D315" t="str">
            <v xml:space="preserve"> =  1  :  Q2</v>
          </cell>
          <cell r="G315" t="str">
            <v>(E08)</v>
          </cell>
          <cell r="H315">
            <v>5.9738955823293166E-2</v>
          </cell>
          <cell r="I315" t="str">
            <v>jam</v>
          </cell>
        </row>
        <row r="318">
          <cell r="A318" t="str">
            <v>2.c.</v>
          </cell>
          <cell r="C318" t="str">
            <v>ALAT  BANTU</v>
          </cell>
        </row>
        <row r="319">
          <cell r="C319" t="str">
            <v>Diperlukan alat-alat bantu kecil</v>
          </cell>
          <cell r="J319" t="str">
            <v>Lump Sump</v>
          </cell>
        </row>
        <row r="320">
          <cell r="C320" t="str">
            <v>- Sekop    =         3   buah</v>
          </cell>
        </row>
        <row r="321">
          <cell r="C321" t="str">
            <v>- Pacul     =         3   buah</v>
          </cell>
        </row>
        <row r="322">
          <cell r="C322" t="str">
            <v>- Alat-alat kecil lain</v>
          </cell>
        </row>
        <row r="324">
          <cell r="A324" t="str">
            <v xml:space="preserve">   3.</v>
          </cell>
          <cell r="C324" t="str">
            <v>TENAGA</v>
          </cell>
        </row>
        <row r="325">
          <cell r="C325" t="str">
            <v>Produksi Gorong-gorong / hari</v>
          </cell>
          <cell r="G325" t="str">
            <v>Qt</v>
          </cell>
          <cell r="H325">
            <v>15</v>
          </cell>
          <cell r="I325" t="str">
            <v>M'</v>
          </cell>
        </row>
        <row r="326">
          <cell r="C326" t="str">
            <v>Kebutuhan tenaga :</v>
          </cell>
        </row>
        <row r="327">
          <cell r="D327" t="str">
            <v>- Pekerja</v>
          </cell>
          <cell r="G327" t="str">
            <v>P</v>
          </cell>
          <cell r="H327">
            <v>5</v>
          </cell>
          <cell r="I327" t="str">
            <v>orang</v>
          </cell>
        </row>
        <row r="328">
          <cell r="D328" t="str">
            <v>- Tukang</v>
          </cell>
          <cell r="G328" t="str">
            <v>T</v>
          </cell>
          <cell r="H328">
            <v>2</v>
          </cell>
          <cell r="I328" t="str">
            <v>orang</v>
          </cell>
        </row>
        <row r="329">
          <cell r="D329" t="str">
            <v>- Mandor</v>
          </cell>
          <cell r="G329" t="str">
            <v>M</v>
          </cell>
          <cell r="H329">
            <v>1</v>
          </cell>
          <cell r="I329" t="str">
            <v>orang</v>
          </cell>
        </row>
        <row r="331">
          <cell r="C331" t="str">
            <v>Koefisien tenaga / M1   :</v>
          </cell>
        </row>
        <row r="332">
          <cell r="D332" t="str">
            <v>- Pekerja</v>
          </cell>
          <cell r="E332" t="str">
            <v>= (Tk x P) : Qt</v>
          </cell>
          <cell r="G332" t="str">
            <v>(L01)</v>
          </cell>
          <cell r="H332">
            <v>2.3333333333333335</v>
          </cell>
          <cell r="I332" t="str">
            <v>Jam</v>
          </cell>
        </row>
        <row r="333">
          <cell r="D333" t="str">
            <v>- Tukang</v>
          </cell>
          <cell r="E333" t="str">
            <v>= (Tk x T) : Qt</v>
          </cell>
          <cell r="G333" t="str">
            <v>(L02)</v>
          </cell>
          <cell r="H333">
            <v>0.93333333333333335</v>
          </cell>
          <cell r="I333" t="str">
            <v>Jam</v>
          </cell>
        </row>
        <row r="334">
          <cell r="D334" t="str">
            <v>- Mandor</v>
          </cell>
          <cell r="E334" t="str">
            <v>= (Tk x M) : Qt</v>
          </cell>
          <cell r="G334" t="str">
            <v>(L03)</v>
          </cell>
          <cell r="H334">
            <v>0.46666666666666667</v>
          </cell>
          <cell r="I334" t="str">
            <v>Jam</v>
          </cell>
        </row>
        <row r="336">
          <cell r="A336" t="str">
            <v>4.</v>
          </cell>
          <cell r="C336" t="str">
            <v>HARGA DASAR SATUAN UPAH, BAHAN DAN ALAT</v>
          </cell>
        </row>
        <row r="337">
          <cell r="C337" t="str">
            <v>Lihat lampiran.</v>
          </cell>
        </row>
        <row r="340">
          <cell r="A340" t="str">
            <v>5.</v>
          </cell>
          <cell r="C340" t="str">
            <v>ANALISA HARGA SATUAN PEKERJAAN</v>
          </cell>
        </row>
        <row r="341">
          <cell r="C341" t="str">
            <v>Lihat perhitungan dalam FORMULIR STANDAR UNTUK</v>
          </cell>
        </row>
        <row r="342">
          <cell r="C342" t="str">
            <v>PEREKEMAN ANALISA MASING-MASING HARGA</v>
          </cell>
        </row>
        <row r="343">
          <cell r="C343" t="str">
            <v>SATUAN.</v>
          </cell>
        </row>
        <row r="344">
          <cell r="C344" t="str">
            <v>Didapat Harga Satuan Pekerjaan :</v>
          </cell>
        </row>
        <row r="346">
          <cell r="C346" t="str">
            <v xml:space="preserve">Rp.  </v>
          </cell>
          <cell r="D346">
            <v>218715.29344341051</v>
          </cell>
          <cell r="E346" t="str">
            <v xml:space="preserve"> / M'</v>
          </cell>
        </row>
        <row r="349">
          <cell r="A349" t="str">
            <v>6.</v>
          </cell>
          <cell r="C349" t="str">
            <v>WAKTU PELAKSANAAN YANG DIPERLUKAN</v>
          </cell>
        </row>
        <row r="350">
          <cell r="C350" t="str">
            <v>Masa Pelaksanaan :</v>
          </cell>
          <cell r="D350" t="str">
            <v>. . . . . . . . . . . .</v>
          </cell>
          <cell r="E350" t="str">
            <v>bulan</v>
          </cell>
        </row>
        <row r="352">
          <cell r="A352" t="str">
            <v>7.</v>
          </cell>
          <cell r="C352" t="str">
            <v>VOLUME PEKERJAAN YANG DIPERLUKAN</v>
          </cell>
        </row>
        <row r="353">
          <cell r="C353" t="str">
            <v>Volume pekerjaan  :</v>
          </cell>
          <cell r="D353">
            <v>1</v>
          </cell>
          <cell r="E353" t="str">
            <v>M'</v>
          </cell>
        </row>
        <row r="363">
          <cell r="A363" t="str">
            <v>ITEM PEMBAYARAN NO.</v>
          </cell>
          <cell r="D363" t="str">
            <v>:  2.3 (2)</v>
          </cell>
          <cell r="J363" t="str">
            <v xml:space="preserve">Analisa EI-232 </v>
          </cell>
        </row>
        <row r="364">
          <cell r="A364" t="str">
            <v>JENIS PEKERJAAN</v>
          </cell>
          <cell r="D364" t="str">
            <v>:  Gorong2 Pipa Beton Bertulang 500 mm &lt; diameter dalam 700 mm</v>
          </cell>
          <cell r="L364" t="str">
            <v>FORMULIR STANDAR UNTUK</v>
          </cell>
        </row>
        <row r="365">
          <cell r="A365" t="str">
            <v>SATUAN PEMBAYARAN</v>
          </cell>
          <cell r="D365" t="str">
            <v>:  M1</v>
          </cell>
          <cell r="J365" t="str">
            <v xml:space="preserve">         URAIAN ANALISA HARGA SATUAN</v>
          </cell>
          <cell r="L365" t="str">
            <v>PEREKAMAN ANALISA MASING-MASING HARGA SATUAN</v>
          </cell>
        </row>
        <row r="366">
          <cell r="L366" t="str">
            <v xml:space="preserve">                                                                                                            </v>
          </cell>
        </row>
        <row r="368">
          <cell r="A368" t="str">
            <v>No.</v>
          </cell>
          <cell r="C368" t="str">
            <v>U R A I A N</v>
          </cell>
          <cell r="G368" t="str">
            <v>KODE</v>
          </cell>
          <cell r="H368" t="str">
            <v>KOEF.</v>
          </cell>
          <cell r="I368" t="str">
            <v>SATUAN</v>
          </cell>
          <cell r="J368" t="str">
            <v>KETERANGAN</v>
          </cell>
        </row>
        <row r="369">
          <cell r="L369" t="str">
            <v>PROYEK</v>
          </cell>
          <cell r="O369" t="str">
            <v>:</v>
          </cell>
        </row>
        <row r="370">
          <cell r="L370" t="str">
            <v>No. PAKET KONTRAK</v>
          </cell>
          <cell r="O370" t="str">
            <v>:</v>
          </cell>
        </row>
        <row r="371">
          <cell r="A371" t="str">
            <v>I.</v>
          </cell>
          <cell r="C371" t="str">
            <v>ASUMSI</v>
          </cell>
          <cell r="L371" t="str">
            <v>NAMA PAKET</v>
          </cell>
          <cell r="O371" t="str">
            <v>:</v>
          </cell>
        </row>
        <row r="372">
          <cell r="A372">
            <v>1</v>
          </cell>
          <cell r="C372" t="str">
            <v>Pekerjaan dilakukan secara mekanik/manual</v>
          </cell>
          <cell r="L372" t="str">
            <v>PROP / KAB / KODYA</v>
          </cell>
          <cell r="O372" t="str">
            <v>:</v>
          </cell>
        </row>
        <row r="373">
          <cell r="A373">
            <v>2</v>
          </cell>
          <cell r="C373" t="str">
            <v>Lokasi pekerjaan : sepanjang jalan</v>
          </cell>
          <cell r="L373" t="str">
            <v>ITEM PEMBAYARAN NO.</v>
          </cell>
          <cell r="O373" t="str">
            <v>:  2.3 (2)</v>
          </cell>
          <cell r="R373" t="str">
            <v>PERKIRAAN VOL. PEK.</v>
          </cell>
          <cell r="T373" t="str">
            <v>:</v>
          </cell>
          <cell r="U373">
            <v>1</v>
          </cell>
        </row>
        <row r="374">
          <cell r="A374">
            <v>3</v>
          </cell>
          <cell r="C374" t="str">
            <v>Diameter bagian dalam gorong-gorong</v>
          </cell>
          <cell r="G374" t="str">
            <v>d</v>
          </cell>
          <cell r="H374">
            <v>0.6</v>
          </cell>
          <cell r="I374" t="str">
            <v>m</v>
          </cell>
          <cell r="L374" t="str">
            <v>JENIS PEKERJAAN</v>
          </cell>
          <cell r="O374" t="str">
            <v>:  Gorong2 Pipa Beton Bertulang 500 mm &lt; diameter dalam 700 mm</v>
          </cell>
          <cell r="R374" t="str">
            <v>TOTAL HARGA (Rp.)</v>
          </cell>
          <cell r="T374" t="str">
            <v>:</v>
          </cell>
          <cell r="U374">
            <v>282846.80804673955</v>
          </cell>
        </row>
        <row r="375">
          <cell r="A375">
            <v>4</v>
          </cell>
          <cell r="C375" t="str">
            <v>Jarak rata-rata Base Camp ke lokasi pekerjaan</v>
          </cell>
          <cell r="G375" t="str">
            <v>L</v>
          </cell>
          <cell r="H375">
            <v>8.7249999999999996</v>
          </cell>
          <cell r="I375" t="str">
            <v>Km</v>
          </cell>
          <cell r="L375" t="str">
            <v>SATUAN PEMBAYARAN</v>
          </cell>
          <cell r="O375" t="str">
            <v>:  M1</v>
          </cell>
          <cell r="Q375">
            <v>0</v>
          </cell>
          <cell r="R375" t="str">
            <v>% THD. BIAYA PROYEK</v>
          </cell>
          <cell r="T375" t="str">
            <v>:</v>
          </cell>
          <cell r="U375" t="e">
            <v>#DIV/0!</v>
          </cell>
        </row>
        <row r="376">
          <cell r="A376">
            <v>5</v>
          </cell>
          <cell r="C376" t="str">
            <v>Jam kerja efektif per-hari</v>
          </cell>
          <cell r="G376" t="str">
            <v>Tk</v>
          </cell>
          <cell r="H376">
            <v>7</v>
          </cell>
          <cell r="I376" t="str">
            <v>jam</v>
          </cell>
        </row>
        <row r="377">
          <cell r="A377">
            <v>6</v>
          </cell>
          <cell r="C377" t="str">
            <v>Tebal gorong-gorong</v>
          </cell>
          <cell r="G377" t="str">
            <v>tg</v>
          </cell>
          <cell r="H377">
            <v>6.5</v>
          </cell>
          <cell r="I377" t="str">
            <v>Cm</v>
          </cell>
        </row>
        <row r="378">
          <cell r="Q378" t="str">
            <v>PERKIRAAN</v>
          </cell>
          <cell r="R378" t="str">
            <v>HARGA</v>
          </cell>
          <cell r="S378" t="str">
            <v>JUMLAH</v>
          </cell>
        </row>
        <row r="379">
          <cell r="A379" t="str">
            <v>II.</v>
          </cell>
          <cell r="C379" t="str">
            <v>URUTAN KERJA</v>
          </cell>
          <cell r="L379" t="str">
            <v>NO.</v>
          </cell>
          <cell r="N379" t="str">
            <v>KOMPONEN</v>
          </cell>
          <cell r="P379" t="str">
            <v>SATUAN</v>
          </cell>
          <cell r="Q379" t="str">
            <v>KUANTITAS</v>
          </cell>
          <cell r="R379" t="str">
            <v>SATUAN</v>
          </cell>
          <cell r="S379" t="str">
            <v>HARGA</v>
          </cell>
        </row>
        <row r="380">
          <cell r="A380">
            <v>1</v>
          </cell>
          <cell r="C380" t="str">
            <v>Gorong-gorong dicetak di Base Camp</v>
          </cell>
          <cell r="R380" t="str">
            <v>(Rp.)</v>
          </cell>
          <cell r="S380" t="str">
            <v>(Rp.)</v>
          </cell>
        </row>
        <row r="381">
          <cell r="A381">
            <v>2</v>
          </cell>
          <cell r="C381" t="str">
            <v>Dump Truck mengangkut gorong-gorong jadi</v>
          </cell>
        </row>
        <row r="382">
          <cell r="C382" t="str">
            <v>ke lapangan</v>
          </cell>
        </row>
        <row r="383">
          <cell r="A383">
            <v>3</v>
          </cell>
          <cell r="C383" t="str">
            <v>Dasar gorong-gorong digali sesuai kebutuhan dan ma-</v>
          </cell>
          <cell r="L383" t="str">
            <v>A.</v>
          </cell>
          <cell r="N383" t="str">
            <v>TENAGA</v>
          </cell>
        </row>
        <row r="384">
          <cell r="C384" t="str">
            <v>terial backfill dipadatkan dengan Tamper</v>
          </cell>
        </row>
        <row r="385">
          <cell r="A385">
            <v>4</v>
          </cell>
          <cell r="C385" t="str">
            <v>Tebal lapis porus pada dasar gorong-gorong pipa</v>
          </cell>
          <cell r="G385" t="str">
            <v>tp</v>
          </cell>
          <cell r="H385">
            <v>0.1</v>
          </cell>
          <cell r="I385" t="str">
            <v>M</v>
          </cell>
          <cell r="J385" t="str">
            <v xml:space="preserve"> Sand bedding</v>
          </cell>
          <cell r="L385" t="str">
            <v>1.</v>
          </cell>
          <cell r="N385" t="str">
            <v>Pekerja</v>
          </cell>
          <cell r="O385" t="str">
            <v>(L01)</v>
          </cell>
          <cell r="P385" t="str">
            <v>jam</v>
          </cell>
          <cell r="Q385">
            <v>4.9000000000000004</v>
          </cell>
          <cell r="R385">
            <v>2857.14</v>
          </cell>
          <cell r="U385">
            <v>13999.986000000001</v>
          </cell>
        </row>
        <row r="386">
          <cell r="A386">
            <v>5</v>
          </cell>
          <cell r="C386" t="str">
            <v>Material pilihan untuk penimbunan kembali (padat)</v>
          </cell>
          <cell r="L386" t="str">
            <v>2.</v>
          </cell>
          <cell r="N386" t="str">
            <v>Tukang</v>
          </cell>
          <cell r="O386" t="str">
            <v>(L02)</v>
          </cell>
          <cell r="P386" t="str">
            <v>jam</v>
          </cell>
          <cell r="Q386">
            <v>1.4</v>
          </cell>
          <cell r="R386">
            <v>4285.71</v>
          </cell>
          <cell r="U386">
            <v>5999.9939999999997</v>
          </cell>
        </row>
        <row r="387">
          <cell r="A387">
            <v>6</v>
          </cell>
          <cell r="C387" t="str">
            <v>Sekelompok pekerja akan melaksanakan pekerjaan</v>
          </cell>
          <cell r="L387" t="str">
            <v>3.</v>
          </cell>
          <cell r="N387" t="str">
            <v>Mandor</v>
          </cell>
          <cell r="O387" t="str">
            <v>(L03)</v>
          </cell>
          <cell r="P387" t="str">
            <v>jam</v>
          </cell>
          <cell r="Q387">
            <v>0.7</v>
          </cell>
          <cell r="R387">
            <v>3214.29</v>
          </cell>
          <cell r="U387">
            <v>2250.0029999999997</v>
          </cell>
        </row>
        <row r="388">
          <cell r="C388" t="str">
            <v>dengan cara manual dengan menggunakan alat bantu</v>
          </cell>
        </row>
        <row r="389">
          <cell r="Q389" t="str">
            <v xml:space="preserve">JUMLAH HARGA TENAGA   </v>
          </cell>
          <cell r="U389">
            <v>22249.983</v>
          </cell>
        </row>
        <row r="391">
          <cell r="A391" t="str">
            <v>III.</v>
          </cell>
          <cell r="C391" t="str">
            <v>PEMAKAIAN BAHAN, ALAT DAN TENAGA</v>
          </cell>
          <cell r="L391" t="str">
            <v>B.</v>
          </cell>
          <cell r="N391" t="str">
            <v>BAHAN</v>
          </cell>
        </row>
        <row r="392">
          <cell r="A392" t="str">
            <v xml:space="preserve">   1.</v>
          </cell>
          <cell r="C392" t="str">
            <v>BAHAN</v>
          </cell>
        </row>
        <row r="393">
          <cell r="C393" t="str">
            <v>Untuk mendapatkan 1 M' gorong-gorong diperlukan</v>
          </cell>
          <cell r="L393" t="str">
            <v>1.</v>
          </cell>
          <cell r="N393" t="str">
            <v>Beton K-300</v>
          </cell>
          <cell r="O393" t="str">
            <v>(EI-714)</v>
          </cell>
          <cell r="P393" t="str">
            <v>M3</v>
          </cell>
          <cell r="Q393">
            <v>0.13579534245141872</v>
          </cell>
          <cell r="R393">
            <v>652902.54982502444</v>
          </cell>
          <cell r="U393">
            <v>88661.125340893675</v>
          </cell>
        </row>
        <row r="394">
          <cell r="C394" t="str">
            <v>- Beton K-300 = (22/7*((2*tg/100+d)/2)^2)-(22/7*(d/2)^2))*1</v>
          </cell>
          <cell r="G394" t="str">
            <v>(EI-714)</v>
          </cell>
          <cell r="H394">
            <v>0.13579534245141872</v>
          </cell>
          <cell r="I394" t="str">
            <v>M3</v>
          </cell>
          <cell r="L394" t="str">
            <v>2.</v>
          </cell>
          <cell r="N394" t="str">
            <v>Baja Tulangan</v>
          </cell>
          <cell r="O394" t="str">
            <v>(M39)</v>
          </cell>
          <cell r="P394" t="str">
            <v>Kg</v>
          </cell>
          <cell r="Q394">
            <v>14.937487669656059</v>
          </cell>
          <cell r="R394">
            <v>4000</v>
          </cell>
          <cell r="U394">
            <v>59749.950678624235</v>
          </cell>
        </row>
        <row r="395">
          <cell r="C395" t="str">
            <v>- Baja Tulangan (asumsi 100kg/m3)</v>
          </cell>
          <cell r="G395" t="str">
            <v>(M39)</v>
          </cell>
          <cell r="H395">
            <v>14.937487669656059</v>
          </cell>
          <cell r="I395" t="str">
            <v>Kg</v>
          </cell>
          <cell r="L395" t="str">
            <v>3.</v>
          </cell>
          <cell r="N395" t="str">
            <v>Urugan Porus</v>
          </cell>
          <cell r="O395" t="str">
            <v>(EI-241)</v>
          </cell>
          <cell r="P395" t="str">
            <v>M3</v>
          </cell>
          <cell r="Q395">
            <v>0.13965000000000002</v>
          </cell>
          <cell r="R395">
            <v>186901.40625406182</v>
          </cell>
          <cell r="U395">
            <v>26100.781383379737</v>
          </cell>
        </row>
        <row r="396">
          <cell r="C396" t="str">
            <v>- Timbunan Porus      = {(tp*(0.3+2*tg/100+d+0.3)*1)*1.05}</v>
          </cell>
          <cell r="G396" t="str">
            <v>(EI-241)</v>
          </cell>
          <cell r="H396">
            <v>0.13965000000000002</v>
          </cell>
          <cell r="I396" t="str">
            <v>M3</v>
          </cell>
          <cell r="L396" t="str">
            <v>4.</v>
          </cell>
          <cell r="N396" t="str">
            <v>Mat. Pilihan</v>
          </cell>
          <cell r="O396" t="str">
            <v>(M09)</v>
          </cell>
          <cell r="P396" t="str">
            <v>M3</v>
          </cell>
          <cell r="Q396">
            <v>0.99875250000000027</v>
          </cell>
          <cell r="R396">
            <v>25000</v>
          </cell>
          <cell r="U396">
            <v>24968.812500000007</v>
          </cell>
        </row>
        <row r="397">
          <cell r="C397" t="str">
            <v>- Material Pilihan</v>
          </cell>
          <cell r="D397" t="str">
            <v>= ((2*tg/100+d+0.3)*(0.3+2*tg/100+d+0.3)</v>
          </cell>
          <cell r="G397" t="str">
            <v>(M09)</v>
          </cell>
          <cell r="H397">
            <v>0.99875250000000027</v>
          </cell>
          <cell r="I397" t="str">
            <v>M3</v>
          </cell>
          <cell r="J397" t="str">
            <v xml:space="preserve"> = Vp</v>
          </cell>
        </row>
        <row r="398">
          <cell r="D398" t="str">
            <v xml:space="preserve">   -(22/7*(0.5*(2*tg/100+d))^2))*1*1.05</v>
          </cell>
        </row>
        <row r="399">
          <cell r="A399" t="str">
            <v xml:space="preserve">   2.</v>
          </cell>
          <cell r="C399" t="str">
            <v>ALAT</v>
          </cell>
          <cell r="Q399" t="str">
            <v xml:space="preserve">JUMLAH HARGA BAHAN   </v>
          </cell>
          <cell r="U399">
            <v>199480.66990289764</v>
          </cell>
        </row>
        <row r="400">
          <cell r="A400" t="str">
            <v>2.a.</v>
          </cell>
          <cell r="C400" t="str">
            <v>TAMPER</v>
          </cell>
          <cell r="G400" t="str">
            <v>(E25)</v>
          </cell>
        </row>
        <row r="401">
          <cell r="C401" t="str">
            <v>Kecepatan</v>
          </cell>
          <cell r="G401" t="str">
            <v>v</v>
          </cell>
          <cell r="H401">
            <v>0.5</v>
          </cell>
          <cell r="I401" t="str">
            <v>Km / Jam</v>
          </cell>
          <cell r="L401" t="str">
            <v>C.</v>
          </cell>
          <cell r="N401" t="str">
            <v>PERALATAN</v>
          </cell>
        </row>
        <row r="402">
          <cell r="C402" t="str">
            <v>Efisiensi alat</v>
          </cell>
          <cell r="G402" t="str">
            <v>Fa</v>
          </cell>
          <cell r="H402">
            <v>0.83</v>
          </cell>
          <cell r="I402" t="str">
            <v>-</v>
          </cell>
        </row>
        <row r="403">
          <cell r="C403" t="str">
            <v>Lebar pemadatan</v>
          </cell>
          <cell r="G403" t="str">
            <v>Lb</v>
          </cell>
          <cell r="H403">
            <v>0.4</v>
          </cell>
          <cell r="I403" t="str">
            <v>M</v>
          </cell>
          <cell r="L403" t="str">
            <v>1.</v>
          </cell>
          <cell r="N403" t="str">
            <v>Tamper</v>
          </cell>
          <cell r="O403" t="str">
            <v>(E25)</v>
          </cell>
          <cell r="P403" t="str">
            <v>Jam</v>
          </cell>
          <cell r="Q403">
            <v>0.30082906626506029</v>
          </cell>
          <cell r="R403">
            <v>18672.16854694486</v>
          </cell>
          <cell r="U403">
            <v>5617.1310291212494</v>
          </cell>
        </row>
        <row r="404">
          <cell r="C404" t="str">
            <v>Banyak lintasan</v>
          </cell>
          <cell r="G404" t="str">
            <v>n</v>
          </cell>
          <cell r="H404">
            <v>10</v>
          </cell>
          <cell r="I404" t="str">
            <v>lintasan</v>
          </cell>
          <cell r="L404" t="str">
            <v>2.</v>
          </cell>
          <cell r="N404" t="str">
            <v>Dump Truck</v>
          </cell>
          <cell r="O404" t="str">
            <v>(E08)</v>
          </cell>
          <cell r="P404" t="str">
            <v>Jam</v>
          </cell>
          <cell r="Q404">
            <v>0.18800200803212852</v>
          </cell>
          <cell r="R404">
            <v>153645.58193291764</v>
          </cell>
          <cell r="U404">
            <v>28885.677928653444</v>
          </cell>
        </row>
        <row r="405">
          <cell r="C405" t="str">
            <v>Tebal lapis hamparan</v>
          </cell>
          <cell r="G405" t="str">
            <v>tp</v>
          </cell>
          <cell r="H405">
            <v>0.2</v>
          </cell>
          <cell r="I405" t="str">
            <v>M</v>
          </cell>
          <cell r="L405" t="str">
            <v>3.</v>
          </cell>
          <cell r="N405" t="str">
            <v>Alat  Bantu</v>
          </cell>
          <cell r="P405" t="str">
            <v>Ls</v>
          </cell>
          <cell r="Q405">
            <v>1</v>
          </cell>
          <cell r="R405">
            <v>900</v>
          </cell>
          <cell r="U405">
            <v>900</v>
          </cell>
        </row>
        <row r="408">
          <cell r="C408" t="str">
            <v>Kap. Prod. / Jam   =</v>
          </cell>
          <cell r="D408" t="str">
            <v>v x 1000 x Fa x Lb x 60</v>
          </cell>
          <cell r="G408" t="str">
            <v>Q1</v>
          </cell>
          <cell r="H408">
            <v>3.3200000000000003</v>
          </cell>
          <cell r="I408" t="str">
            <v xml:space="preserve">M3 / Jam </v>
          </cell>
        </row>
        <row r="409">
          <cell r="D409" t="str">
            <v xml:space="preserve">    n x tp</v>
          </cell>
        </row>
        <row r="411">
          <cell r="C411" t="str">
            <v>Koefisien Alat / m'</v>
          </cell>
          <cell r="D411" t="str">
            <v xml:space="preserve"> =  1  :  Q1 x Vp</v>
          </cell>
          <cell r="G411" t="str">
            <v>(E25)</v>
          </cell>
          <cell r="H411">
            <v>0.30082906626506029</v>
          </cell>
          <cell r="I411" t="str">
            <v>jam</v>
          </cell>
          <cell r="Q411" t="str">
            <v xml:space="preserve">JUMLAH HARGA PERALATAN   </v>
          </cell>
          <cell r="U411">
            <v>35402.808957774694</v>
          </cell>
        </row>
        <row r="413">
          <cell r="A413" t="str">
            <v>2.b.</v>
          </cell>
          <cell r="C413" t="str">
            <v>DUMP TRUCK</v>
          </cell>
          <cell r="G413" t="str">
            <v>(E08)</v>
          </cell>
          <cell r="L413" t="str">
            <v>D.</v>
          </cell>
          <cell r="N413" t="str">
            <v>JUMLAH HARGA TENAGA, BAHAN DAN PERALATAN  ( A + B + C )</v>
          </cell>
          <cell r="U413">
            <v>257133.46186067234</v>
          </cell>
        </row>
        <row r="414">
          <cell r="C414" t="str">
            <v>Kapasitas bak sekali muat</v>
          </cell>
          <cell r="G414" t="str">
            <v>V</v>
          </cell>
          <cell r="H414">
            <v>10</v>
          </cell>
          <cell r="I414" t="str">
            <v>Buah/M'</v>
          </cell>
          <cell r="L414" t="str">
            <v>E.</v>
          </cell>
          <cell r="N414" t="str">
            <v>OVERHEAD &amp; PROFIT</v>
          </cell>
          <cell r="P414">
            <v>10</v>
          </cell>
          <cell r="Q414" t="str">
            <v>%  x  D</v>
          </cell>
          <cell r="U414">
            <v>25713.346186067236</v>
          </cell>
        </row>
        <row r="415">
          <cell r="C415" t="str">
            <v>Faktor efisiensi alat</v>
          </cell>
          <cell r="G415" t="str">
            <v>Fa</v>
          </cell>
          <cell r="H415">
            <v>0.83</v>
          </cell>
          <cell r="L415" t="str">
            <v>F.</v>
          </cell>
          <cell r="N415" t="str">
            <v>HARGA SATUAN PEKERJAAN  ( D + E )</v>
          </cell>
          <cell r="U415">
            <v>282846.80804673955</v>
          </cell>
        </row>
        <row r="416">
          <cell r="C416" t="str">
            <v>Kecepatanrata-rata bermuatan</v>
          </cell>
          <cell r="G416" t="str">
            <v>v1</v>
          </cell>
          <cell r="H416">
            <v>20</v>
          </cell>
          <cell r="I416" t="str">
            <v>Km/Jam</v>
          </cell>
          <cell r="L416" t="str">
            <v>Note: 1</v>
          </cell>
          <cell r="N416" t="str">
            <v>SATUAN dapat berdasarkan atas jam operasi untuk Tenaga Kerja dan Peralatan, volume dan/atau ukuran</v>
          </cell>
        </row>
        <row r="417">
          <cell r="C417" t="str">
            <v>Kecepatan rata-rata kosong</v>
          </cell>
          <cell r="G417" t="str">
            <v>v2</v>
          </cell>
          <cell r="H417">
            <v>30</v>
          </cell>
          <cell r="I417" t="str">
            <v>Km/Jam</v>
          </cell>
          <cell r="N417" t="str">
            <v>berat untuk bahan-bahan.</v>
          </cell>
        </row>
        <row r="418">
          <cell r="C418" t="str">
            <v>Waktu siklus    :</v>
          </cell>
          <cell r="G418" t="str">
            <v>Ts</v>
          </cell>
          <cell r="L418">
            <v>2</v>
          </cell>
          <cell r="N418" t="str">
            <v>Kuantitas satuan adalah kuantitas setiap komponen untuk menyelesaikan satu satuan pekerjaan dari nomor</v>
          </cell>
        </row>
        <row r="419">
          <cell r="C419" t="str">
            <v>- Waktu  tempuh in  si  = (L : v1 ) x 60</v>
          </cell>
          <cell r="G419" t="str">
            <v>T1</v>
          </cell>
          <cell r="H419">
            <v>26.174999999999997</v>
          </cell>
          <cell r="I419" t="str">
            <v>menit</v>
          </cell>
          <cell r="N419" t="str">
            <v>mata pembayaran.</v>
          </cell>
        </row>
        <row r="420">
          <cell r="C420" t="str">
            <v>-  Waktutempuh kosong  = (L : v2)  x  60</v>
          </cell>
          <cell r="G420" t="str">
            <v>T2</v>
          </cell>
          <cell r="H420">
            <v>17.45</v>
          </cell>
          <cell r="I420" t="str">
            <v>menit</v>
          </cell>
          <cell r="L420">
            <v>3</v>
          </cell>
          <cell r="N420" t="str">
            <v>Biaya satuan untuk peralatan sudah termasuk bahan bakar, bahan habis dipakai dan operator.</v>
          </cell>
        </row>
        <row r="421">
          <cell r="C421" t="str">
            <v>-  Muat, bongkar dan lain-lain</v>
          </cell>
          <cell r="G421" t="str">
            <v>T3</v>
          </cell>
          <cell r="H421">
            <v>50</v>
          </cell>
          <cell r="I421" t="str">
            <v>menit</v>
          </cell>
          <cell r="L421">
            <v>4</v>
          </cell>
          <cell r="N421" t="str">
            <v>Biaya satuan sudah termasuk pengeluaran untuk seluruh pajak yang berkaitan (tetapi tidak termasuk PPN</v>
          </cell>
        </row>
        <row r="422">
          <cell r="G422" t="str">
            <v>Ts</v>
          </cell>
          <cell r="H422">
            <v>93.625</v>
          </cell>
          <cell r="I422" t="str">
            <v>menit</v>
          </cell>
          <cell r="N422" t="str">
            <v>yang dibayar dari kontrak) dan biaya-biaya lainnya.</v>
          </cell>
        </row>
        <row r="423">
          <cell r="J423" t="str">
            <v>Berlanjut ke halaman berikut</v>
          </cell>
        </row>
        <row r="424">
          <cell r="A424" t="str">
            <v>ITEM PEMBAYARAN NO.</v>
          </cell>
          <cell r="D424" t="str">
            <v>:  2.3 (2)</v>
          </cell>
          <cell r="J424" t="str">
            <v xml:space="preserve">Analisa EI-232 </v>
          </cell>
        </row>
        <row r="425">
          <cell r="A425" t="str">
            <v>JENIS PEKERJAAN</v>
          </cell>
          <cell r="D425" t="str">
            <v>:  Gorong2 Pipa Beton Bertulang 500 mm &lt; diameter dalam 700 mm</v>
          </cell>
        </row>
        <row r="426">
          <cell r="A426" t="str">
            <v>SATUAN PEMBAYARAN</v>
          </cell>
          <cell r="D426" t="str">
            <v>:  M1</v>
          </cell>
          <cell r="J426" t="str">
            <v xml:space="preserve">         URAIAN ANALISA HARGA SATUAN</v>
          </cell>
        </row>
        <row r="427">
          <cell r="J427" t="str">
            <v>Lanjutan</v>
          </cell>
        </row>
        <row r="429">
          <cell r="A429" t="str">
            <v>No.</v>
          </cell>
          <cell r="C429" t="str">
            <v>U R A I A N</v>
          </cell>
          <cell r="G429" t="str">
            <v>KODE</v>
          </cell>
          <cell r="H429" t="str">
            <v>KOEF.</v>
          </cell>
          <cell r="I429" t="str">
            <v>SATUAN</v>
          </cell>
          <cell r="J429" t="str">
            <v>KETERANGAN</v>
          </cell>
        </row>
        <row r="432">
          <cell r="C432" t="str">
            <v>Kapasitas Produksi / Jam   =</v>
          </cell>
          <cell r="E432" t="str">
            <v>V x Fa x 60</v>
          </cell>
          <cell r="G432" t="str">
            <v>Q2</v>
          </cell>
          <cell r="H432">
            <v>5.3190921228304404</v>
          </cell>
          <cell r="I432" t="str">
            <v xml:space="preserve">M' / Jam </v>
          </cell>
        </row>
        <row r="433">
          <cell r="E433" t="str">
            <v xml:space="preserve">    Ts</v>
          </cell>
        </row>
        <row r="435">
          <cell r="C435" t="str">
            <v>Koefisien Alat / m'</v>
          </cell>
          <cell r="D435" t="str">
            <v xml:space="preserve"> =  1  :  Q2</v>
          </cell>
          <cell r="G435" t="str">
            <v>(E08)</v>
          </cell>
          <cell r="H435">
            <v>0.18800200803212852</v>
          </cell>
          <cell r="I435" t="str">
            <v>jam</v>
          </cell>
        </row>
        <row r="438">
          <cell r="A438" t="str">
            <v>2.c.</v>
          </cell>
          <cell r="C438" t="str">
            <v>ALAT  BANTU</v>
          </cell>
        </row>
        <row r="439">
          <cell r="C439" t="str">
            <v>Diperlukan alat-alat bantu kecil</v>
          </cell>
          <cell r="J439" t="str">
            <v>Lump Sump</v>
          </cell>
        </row>
        <row r="440">
          <cell r="C440" t="str">
            <v>- Sekop    =         3   buah</v>
          </cell>
        </row>
        <row r="441">
          <cell r="C441" t="str">
            <v>- Pacul     =         3   buah</v>
          </cell>
        </row>
        <row r="442">
          <cell r="C442" t="str">
            <v>- Alat-alat kecil lain</v>
          </cell>
        </row>
        <row r="444">
          <cell r="A444" t="str">
            <v xml:space="preserve">   3.</v>
          </cell>
          <cell r="C444" t="str">
            <v>TENAGA</v>
          </cell>
        </row>
        <row r="445">
          <cell r="C445" t="str">
            <v>Produksi Gorong-gorong / hari</v>
          </cell>
          <cell r="G445" t="str">
            <v>Qt</v>
          </cell>
          <cell r="H445">
            <v>10</v>
          </cell>
          <cell r="I445" t="str">
            <v>M'</v>
          </cell>
        </row>
        <row r="446">
          <cell r="C446" t="str">
            <v>Kebutuhan tenaga :</v>
          </cell>
        </row>
        <row r="447">
          <cell r="D447" t="str">
            <v>- Pekerja</v>
          </cell>
          <cell r="G447" t="str">
            <v>P</v>
          </cell>
          <cell r="H447">
            <v>7</v>
          </cell>
          <cell r="I447" t="str">
            <v>orang</v>
          </cell>
        </row>
        <row r="448">
          <cell r="D448" t="str">
            <v>- Tukang</v>
          </cell>
          <cell r="G448" t="str">
            <v>T</v>
          </cell>
          <cell r="H448">
            <v>2</v>
          </cell>
          <cell r="I448" t="str">
            <v>orang</v>
          </cell>
        </row>
        <row r="449">
          <cell r="D449" t="str">
            <v>- Mandor</v>
          </cell>
          <cell r="G449" t="str">
            <v>M</v>
          </cell>
          <cell r="H449">
            <v>1</v>
          </cell>
          <cell r="I449" t="str">
            <v>orang</v>
          </cell>
        </row>
        <row r="451">
          <cell r="C451" t="str">
            <v>Koefisien tenaga / M'   :</v>
          </cell>
        </row>
        <row r="452">
          <cell r="D452" t="str">
            <v>- Pekerja</v>
          </cell>
          <cell r="E452" t="str">
            <v>= (Tk x P) : Qt</v>
          </cell>
          <cell r="G452" t="str">
            <v>(L01)</v>
          </cell>
          <cell r="H452">
            <v>4.9000000000000004</v>
          </cell>
          <cell r="I452" t="str">
            <v>jam</v>
          </cell>
        </row>
        <row r="453">
          <cell r="D453" t="str">
            <v>- Tukang</v>
          </cell>
          <cell r="E453" t="str">
            <v>= (Tk x T) : Qt</v>
          </cell>
          <cell r="G453" t="str">
            <v>(L02)</v>
          </cell>
          <cell r="H453">
            <v>1.4</v>
          </cell>
          <cell r="I453" t="str">
            <v>jam</v>
          </cell>
        </row>
        <row r="454">
          <cell r="D454" t="str">
            <v>- Mandor</v>
          </cell>
          <cell r="E454" t="str">
            <v>= (Tk x M) : Qt</v>
          </cell>
          <cell r="G454" t="str">
            <v>(L03)</v>
          </cell>
          <cell r="H454">
            <v>0.7</v>
          </cell>
          <cell r="I454" t="str">
            <v>jam</v>
          </cell>
        </row>
        <row r="456">
          <cell r="A456" t="str">
            <v>4.</v>
          </cell>
          <cell r="C456" t="str">
            <v>HARGA DASAR SATUAN UPAH, BAHAN DAN ALAT</v>
          </cell>
        </row>
        <row r="457">
          <cell r="C457" t="str">
            <v>Lihat lampiran.</v>
          </cell>
        </row>
        <row r="460">
          <cell r="A460" t="str">
            <v>5.</v>
          </cell>
          <cell r="C460" t="str">
            <v>ANALISA HARGA SATUAN PEKERJAAN</v>
          </cell>
        </row>
        <row r="461">
          <cell r="C461" t="str">
            <v>Lihat perhitungan dalam FORMULIR STANDAR UNTUK</v>
          </cell>
        </row>
        <row r="462">
          <cell r="C462" t="str">
            <v>PEREKEMAN ANALISA MASING-MASING HARGA</v>
          </cell>
        </row>
        <row r="463">
          <cell r="C463" t="str">
            <v>SATUAN.</v>
          </cell>
        </row>
        <row r="464">
          <cell r="C464" t="str">
            <v>Didapat Harga Satuan Pekerjaan :</v>
          </cell>
        </row>
        <row r="466">
          <cell r="C466" t="str">
            <v xml:space="preserve">Rp.  </v>
          </cell>
          <cell r="D466">
            <v>282846.80804673955</v>
          </cell>
          <cell r="E466" t="str">
            <v xml:space="preserve"> / M'</v>
          </cell>
        </row>
        <row r="469">
          <cell r="A469" t="str">
            <v>6.</v>
          </cell>
          <cell r="C469" t="str">
            <v>WAKTU PELAKSANAAN YANG DIPERLUKAN</v>
          </cell>
        </row>
        <row r="470">
          <cell r="C470" t="str">
            <v>Masa Pelaksanaan :</v>
          </cell>
          <cell r="D470" t="str">
            <v>. . . . . . . . . . . .</v>
          </cell>
          <cell r="E470" t="str">
            <v>bulan</v>
          </cell>
        </row>
        <row r="472">
          <cell r="A472" t="str">
            <v>7.</v>
          </cell>
          <cell r="C472" t="str">
            <v>VOLUME PEKERJAAN YANG DIPERLUKAN</v>
          </cell>
        </row>
        <row r="473">
          <cell r="C473" t="str">
            <v>Volume pekerjaan  :</v>
          </cell>
          <cell r="D473">
            <v>1</v>
          </cell>
          <cell r="E473" t="str">
            <v>M'</v>
          </cell>
        </row>
        <row r="483">
          <cell r="A483" t="str">
            <v>ITEM PEMBAYARAN NO.</v>
          </cell>
          <cell r="D483" t="str">
            <v>:  2.3 (3)</v>
          </cell>
          <cell r="J483" t="str">
            <v xml:space="preserve">Analisa EI-233 </v>
          </cell>
        </row>
        <row r="484">
          <cell r="A484" t="str">
            <v>JENIS PEKERJAAN</v>
          </cell>
          <cell r="D484" t="str">
            <v>:  Gorong2 Pipa Beton Bertulang 500 mm &lt; diameter dalam &lt; 1 m</v>
          </cell>
          <cell r="L484" t="str">
            <v>FORMULIR STANDAR UNTUK</v>
          </cell>
        </row>
        <row r="485">
          <cell r="A485" t="str">
            <v>SATUAN PEMBAYARAN</v>
          </cell>
          <cell r="D485" t="str">
            <v>:  M1</v>
          </cell>
          <cell r="J485" t="str">
            <v xml:space="preserve">         URAIAN ANALISA HARGA SATUAN</v>
          </cell>
          <cell r="L485" t="str">
            <v>PEREKAMAN ANALISA MASING-MASING HARGA SATUAN</v>
          </cell>
        </row>
        <row r="486">
          <cell r="L486" t="str">
            <v xml:space="preserve">                                                                                                            </v>
          </cell>
        </row>
        <row r="488">
          <cell r="A488" t="str">
            <v>No.</v>
          </cell>
          <cell r="C488" t="str">
            <v>U R A I A N</v>
          </cell>
          <cell r="G488" t="str">
            <v>KODE</v>
          </cell>
          <cell r="H488" t="str">
            <v>KOEF.</v>
          </cell>
          <cell r="I488" t="str">
            <v>SATUAN</v>
          </cell>
          <cell r="J488" t="str">
            <v>KETERANGAN</v>
          </cell>
        </row>
        <row r="489">
          <cell r="L489" t="str">
            <v>PROYEK</v>
          </cell>
          <cell r="O489" t="str">
            <v>:</v>
          </cell>
        </row>
        <row r="490">
          <cell r="L490" t="str">
            <v>No. PAKET KONTRAK</v>
          </cell>
          <cell r="O490" t="str">
            <v>:</v>
          </cell>
        </row>
        <row r="491">
          <cell r="A491" t="str">
            <v>I.</v>
          </cell>
          <cell r="C491" t="str">
            <v>ASUMSI</v>
          </cell>
          <cell r="L491" t="str">
            <v>NAMA PAKET</v>
          </cell>
          <cell r="O491" t="str">
            <v>:</v>
          </cell>
        </row>
        <row r="492">
          <cell r="A492">
            <v>1</v>
          </cell>
          <cell r="C492" t="str">
            <v>Pekerjaan dilakukan secara mekanik/manual</v>
          </cell>
          <cell r="L492" t="str">
            <v>PROP / KAB / KODYA</v>
          </cell>
          <cell r="O492" t="str">
            <v>:</v>
          </cell>
        </row>
        <row r="493">
          <cell r="A493">
            <v>2</v>
          </cell>
          <cell r="C493" t="str">
            <v>Lokasi pekerjaan : sepanjang jalan</v>
          </cell>
          <cell r="L493" t="str">
            <v>ITEM PEMBAYARAN NO.</v>
          </cell>
          <cell r="O493" t="str">
            <v>:  2.3 (3)</v>
          </cell>
          <cell r="R493" t="str">
            <v>PERKIRAAN VOL. PEK.</v>
          </cell>
          <cell r="T493" t="str">
            <v>:</v>
          </cell>
          <cell r="U493">
            <v>1</v>
          </cell>
        </row>
        <row r="494">
          <cell r="A494">
            <v>3</v>
          </cell>
          <cell r="C494" t="str">
            <v>Diameter bagian dalam gorong-gorong</v>
          </cell>
          <cell r="G494" t="str">
            <v>d</v>
          </cell>
          <cell r="H494">
            <v>0.8</v>
          </cell>
          <cell r="I494" t="str">
            <v>m</v>
          </cell>
          <cell r="L494" t="str">
            <v>JENIS PEKERJAAN</v>
          </cell>
          <cell r="O494" t="str">
            <v>:  Gorong2 Pipa Beton Bertulang 500 mm &lt; diameter dalam &lt; 1 m</v>
          </cell>
          <cell r="R494" t="str">
            <v>TOTAL HARGA (Rp.)</v>
          </cell>
          <cell r="T494" t="str">
            <v>:</v>
          </cell>
          <cell r="U494">
            <v>447945.27138535964</v>
          </cell>
        </row>
        <row r="495">
          <cell r="A495">
            <v>4</v>
          </cell>
          <cell r="C495" t="str">
            <v>Jarak rata-rata Base Camp ke lokasi pekerjaan</v>
          </cell>
          <cell r="G495" t="str">
            <v>L</v>
          </cell>
          <cell r="H495">
            <v>8.7249999999999996</v>
          </cell>
          <cell r="I495" t="str">
            <v>Km</v>
          </cell>
          <cell r="L495" t="str">
            <v>SATUAN PEMBAYARAN</v>
          </cell>
          <cell r="O495" t="str">
            <v>:  M1</v>
          </cell>
          <cell r="Q495">
            <v>0</v>
          </cell>
          <cell r="R495" t="str">
            <v>% THD. BIAYA PROYEK</v>
          </cell>
          <cell r="T495" t="str">
            <v>:</v>
          </cell>
          <cell r="U495" t="e">
            <v>#DIV/0!</v>
          </cell>
        </row>
        <row r="496">
          <cell r="A496">
            <v>5</v>
          </cell>
          <cell r="C496" t="str">
            <v>Jam kerja efektif per-hari</v>
          </cell>
          <cell r="G496" t="str">
            <v>Tk</v>
          </cell>
          <cell r="H496">
            <v>7</v>
          </cell>
          <cell r="I496" t="str">
            <v>Jam</v>
          </cell>
        </row>
        <row r="497">
          <cell r="A497">
            <v>6</v>
          </cell>
          <cell r="C497" t="str">
            <v>Tebal gorong-gorong</v>
          </cell>
          <cell r="G497" t="str">
            <v>tg</v>
          </cell>
          <cell r="H497">
            <v>7.5</v>
          </cell>
          <cell r="I497" t="str">
            <v>Cm</v>
          </cell>
        </row>
        <row r="498">
          <cell r="Q498" t="str">
            <v>PERKIRAAN</v>
          </cell>
          <cell r="R498" t="str">
            <v>HARGA</v>
          </cell>
          <cell r="S498" t="str">
            <v>JUMLAH</v>
          </cell>
        </row>
        <row r="499">
          <cell r="A499" t="str">
            <v>II.</v>
          </cell>
          <cell r="C499" t="str">
            <v>URUTAN KERJA</v>
          </cell>
          <cell r="L499" t="str">
            <v>NO.</v>
          </cell>
          <cell r="N499" t="str">
            <v>KOMPONEN</v>
          </cell>
          <cell r="P499" t="str">
            <v>SATUAN</v>
          </cell>
          <cell r="Q499" t="str">
            <v>KUANTITAS</v>
          </cell>
          <cell r="R499" t="str">
            <v>SATUAN</v>
          </cell>
          <cell r="S499" t="str">
            <v>HARGA</v>
          </cell>
        </row>
        <row r="500">
          <cell r="A500">
            <v>1</v>
          </cell>
          <cell r="C500" t="str">
            <v>Gorong-gorong dicetak di Base Camp</v>
          </cell>
          <cell r="R500" t="str">
            <v>(Rp.)</v>
          </cell>
          <cell r="S500" t="str">
            <v>(Rp.)</v>
          </cell>
        </row>
        <row r="501">
          <cell r="A501">
            <v>2</v>
          </cell>
          <cell r="C501" t="str">
            <v>Dump Truck mengangkut gorong-gorong jadi</v>
          </cell>
        </row>
        <row r="502">
          <cell r="C502" t="str">
            <v>ke lapangan</v>
          </cell>
        </row>
        <row r="503">
          <cell r="A503">
            <v>3</v>
          </cell>
          <cell r="C503" t="str">
            <v>Dasar gorong-gorong digali sesuai kebutuhan dan ma-</v>
          </cell>
          <cell r="L503" t="str">
            <v>A.</v>
          </cell>
          <cell r="N503" t="str">
            <v>TENAGA</v>
          </cell>
        </row>
        <row r="504">
          <cell r="C504" t="str">
            <v>terial backfill dipadatkan dengan Tamper</v>
          </cell>
        </row>
        <row r="505">
          <cell r="A505">
            <v>4</v>
          </cell>
          <cell r="C505" t="str">
            <v>Tebal lapis porus pada dasar gorong-gorong pipa</v>
          </cell>
          <cell r="G505" t="str">
            <v>tp</v>
          </cell>
          <cell r="H505">
            <v>0.12</v>
          </cell>
          <cell r="I505" t="str">
            <v>M</v>
          </cell>
          <cell r="J505" t="str">
            <v xml:space="preserve"> Sand bedding</v>
          </cell>
          <cell r="L505" t="str">
            <v>1.</v>
          </cell>
          <cell r="N505" t="str">
            <v>Pekerja</v>
          </cell>
          <cell r="O505" t="str">
            <v>(L01)</v>
          </cell>
          <cell r="P505" t="str">
            <v>Jam</v>
          </cell>
          <cell r="Q505">
            <v>9.3333333333333339</v>
          </cell>
          <cell r="R505">
            <v>2857.14</v>
          </cell>
          <cell r="U505">
            <v>26666.639999999999</v>
          </cell>
        </row>
        <row r="506">
          <cell r="A506">
            <v>5</v>
          </cell>
          <cell r="C506" t="str">
            <v>Material pilihan untuk penimbunan kembali (padat)</v>
          </cell>
          <cell r="L506" t="str">
            <v>2.</v>
          </cell>
          <cell r="N506" t="str">
            <v>Tukang</v>
          </cell>
          <cell r="O506" t="str">
            <v>(L02)</v>
          </cell>
          <cell r="P506" t="str">
            <v>Jam</v>
          </cell>
          <cell r="Q506">
            <v>1.1666666666666667</v>
          </cell>
          <cell r="R506">
            <v>4285.71</v>
          </cell>
          <cell r="U506">
            <v>4999.9950000000008</v>
          </cell>
        </row>
        <row r="507">
          <cell r="A507">
            <v>6</v>
          </cell>
          <cell r="C507" t="str">
            <v>Sekelompok pekerja akan melaksanakan pekerjaan</v>
          </cell>
          <cell r="L507" t="str">
            <v>3.</v>
          </cell>
          <cell r="N507" t="str">
            <v>Mandor</v>
          </cell>
          <cell r="O507" t="str">
            <v>(L03)</v>
          </cell>
          <cell r="P507" t="str">
            <v>Jam</v>
          </cell>
          <cell r="Q507">
            <v>1.1666666666666667</v>
          </cell>
          <cell r="R507">
            <v>3214.29</v>
          </cell>
          <cell r="U507">
            <v>3750.0050000000001</v>
          </cell>
        </row>
        <row r="508">
          <cell r="C508" t="str">
            <v>dengan cara manual dengan menggunakan alat bantu</v>
          </cell>
        </row>
        <row r="509">
          <cell r="Q509" t="str">
            <v xml:space="preserve">JUMLAH HARGA TENAGA   </v>
          </cell>
          <cell r="U509">
            <v>35416.639999999999</v>
          </cell>
        </row>
        <row r="511">
          <cell r="A511" t="str">
            <v>III.</v>
          </cell>
          <cell r="C511" t="str">
            <v>PEMAKAIAN BAHAN, ALAT DAN TENAGA</v>
          </cell>
          <cell r="L511" t="str">
            <v>B.</v>
          </cell>
          <cell r="N511" t="str">
            <v>BAHAN</v>
          </cell>
        </row>
        <row r="512">
          <cell r="A512" t="str">
            <v xml:space="preserve">   1.</v>
          </cell>
          <cell r="C512" t="str">
            <v>BAHAN</v>
          </cell>
        </row>
        <row r="513">
          <cell r="C513" t="str">
            <v>Untuk mendapatkan 1 M' gorong-gorong diperlukan</v>
          </cell>
          <cell r="L513" t="str">
            <v>1.</v>
          </cell>
          <cell r="N513" t="str">
            <v>Beton K-300</v>
          </cell>
          <cell r="O513" t="str">
            <v>(EI-714)</v>
          </cell>
          <cell r="P513" t="str">
            <v>M3</v>
          </cell>
          <cell r="Q513">
            <v>0.20616701789183023</v>
          </cell>
          <cell r="R513">
            <v>652902.54982502444</v>
          </cell>
          <cell r="U513">
            <v>134606.97167139739</v>
          </cell>
        </row>
        <row r="514">
          <cell r="C514" t="str">
            <v>- Beton K-300 = (22/7*((2*tg/100+d)/2)^2)-(22/7*(d/2)^2))*1</v>
          </cell>
          <cell r="G514" t="str">
            <v>(EI-714)</v>
          </cell>
          <cell r="H514">
            <v>0.20616701789183023</v>
          </cell>
          <cell r="I514" t="str">
            <v>M3</v>
          </cell>
          <cell r="L514" t="str">
            <v>2.</v>
          </cell>
          <cell r="N514" t="str">
            <v>Baja Tulangan</v>
          </cell>
          <cell r="O514" t="str">
            <v>(M39)</v>
          </cell>
          <cell r="P514" t="str">
            <v>Kg</v>
          </cell>
          <cell r="Q514">
            <v>22.678371968101327</v>
          </cell>
          <cell r="R514">
            <v>4000</v>
          </cell>
          <cell r="U514">
            <v>90713.487872405312</v>
          </cell>
        </row>
        <row r="515">
          <cell r="C515" t="str">
            <v>- Baja Tulangan (asumsi 100kg/m3)</v>
          </cell>
          <cell r="G515" t="str">
            <v>(M39)</v>
          </cell>
          <cell r="H515">
            <v>22.678371968101327</v>
          </cell>
          <cell r="I515" t="str">
            <v>Kg</v>
          </cell>
          <cell r="L515" t="str">
            <v>3.</v>
          </cell>
          <cell r="N515" t="str">
            <v>Urugan Porus</v>
          </cell>
          <cell r="O515" t="str">
            <v>(EI-241)</v>
          </cell>
          <cell r="P515" t="str">
            <v>M3</v>
          </cell>
          <cell r="Q515">
            <v>0.2205</v>
          </cell>
          <cell r="R515">
            <v>186901.40625406182</v>
          </cell>
          <cell r="U515">
            <v>41211.760079020634</v>
          </cell>
        </row>
        <row r="516">
          <cell r="C516" t="str">
            <v>- Timbunan Porus      = {(tp*(0.4+2*tg/100+d+0.4)*1)*1.05}</v>
          </cell>
          <cell r="G516" t="str">
            <v>(EI-241)</v>
          </cell>
          <cell r="H516">
            <v>0.2205</v>
          </cell>
          <cell r="I516" t="str">
            <v>M3</v>
          </cell>
          <cell r="L516" t="str">
            <v>4.</v>
          </cell>
          <cell r="N516" t="str">
            <v>Mat. Pilihan</v>
          </cell>
          <cell r="O516" t="str">
            <v>(M09)</v>
          </cell>
          <cell r="P516" t="str">
            <v>M3</v>
          </cell>
          <cell r="Q516">
            <v>1.5523125</v>
          </cell>
          <cell r="R516">
            <v>25000</v>
          </cell>
          <cell r="U516">
            <v>38807.8125</v>
          </cell>
        </row>
        <row r="517">
          <cell r="C517" t="str">
            <v>- Material Pilihan</v>
          </cell>
          <cell r="D517" t="str">
            <v>= ((2*tg/100+d+0.3)*(0.4+2*tg/100+d+0.4)</v>
          </cell>
          <cell r="G517" t="str">
            <v>(M09)</v>
          </cell>
          <cell r="H517">
            <v>1.5523125</v>
          </cell>
          <cell r="I517" t="str">
            <v>M3</v>
          </cell>
          <cell r="J517" t="str">
            <v xml:space="preserve"> = Vp</v>
          </cell>
        </row>
        <row r="518">
          <cell r="D518" t="str">
            <v xml:space="preserve">   -(22/7*(0.5*(2*tg/100+d))^2))*1*1.05</v>
          </cell>
        </row>
        <row r="519">
          <cell r="A519" t="str">
            <v xml:space="preserve">   2.</v>
          </cell>
          <cell r="C519" t="str">
            <v>ALAT</v>
          </cell>
          <cell r="Q519" t="str">
            <v xml:space="preserve">JUMLAH HARGA BAHAN   </v>
          </cell>
          <cell r="U519">
            <v>305340.03212282335</v>
          </cell>
        </row>
        <row r="520">
          <cell r="A520" t="str">
            <v>2.a.</v>
          </cell>
          <cell r="C520" t="str">
            <v>TAMPER</v>
          </cell>
          <cell r="G520" t="str">
            <v>(E25)</v>
          </cell>
        </row>
        <row r="521">
          <cell r="C521" t="str">
            <v>Kecepatan</v>
          </cell>
          <cell r="G521" t="str">
            <v>V</v>
          </cell>
          <cell r="H521">
            <v>0.5</v>
          </cell>
          <cell r="I521" t="str">
            <v>Km / Jam</v>
          </cell>
          <cell r="L521" t="str">
            <v>C.</v>
          </cell>
          <cell r="N521" t="str">
            <v>PERALATAN</v>
          </cell>
        </row>
        <row r="522">
          <cell r="C522" t="str">
            <v>Efisiensi alat</v>
          </cell>
          <cell r="G522" t="str">
            <v>Fa</v>
          </cell>
          <cell r="H522">
            <v>0.83</v>
          </cell>
          <cell r="I522" t="str">
            <v>-</v>
          </cell>
        </row>
        <row r="523">
          <cell r="C523" t="str">
            <v>Lebar pemadatan</v>
          </cell>
          <cell r="G523" t="str">
            <v>Lb</v>
          </cell>
          <cell r="H523">
            <v>0.4</v>
          </cell>
          <cell r="I523" t="str">
            <v>M</v>
          </cell>
          <cell r="L523" t="str">
            <v>1.</v>
          </cell>
          <cell r="N523" t="str">
            <v>Tamper</v>
          </cell>
          <cell r="O523" t="str">
            <v>(E25)</v>
          </cell>
          <cell r="P523" t="str">
            <v>Jam</v>
          </cell>
          <cell r="Q523">
            <v>0.46756400602409631</v>
          </cell>
          <cell r="R523">
            <v>18672.16854694486</v>
          </cell>
          <cell r="U523">
            <v>8730.4339269666689</v>
          </cell>
        </row>
        <row r="524">
          <cell r="C524" t="str">
            <v>Banyak lintasan</v>
          </cell>
          <cell r="G524" t="str">
            <v>n</v>
          </cell>
          <cell r="H524">
            <v>10</v>
          </cell>
          <cell r="I524" t="str">
            <v>lintasan</v>
          </cell>
          <cell r="L524" t="str">
            <v>2.</v>
          </cell>
          <cell r="N524" t="str">
            <v>Dump Truck</v>
          </cell>
          <cell r="O524" t="str">
            <v>(E08)</v>
          </cell>
          <cell r="P524" t="str">
            <v>Jam</v>
          </cell>
          <cell r="Q524">
            <v>0.36926455823293175</v>
          </cell>
          <cell r="R524">
            <v>153645.58193291764</v>
          </cell>
          <cell r="U524">
            <v>56735.867936900555</v>
          </cell>
        </row>
        <row r="525">
          <cell r="C525" t="str">
            <v>Tebal lapis hamparan</v>
          </cell>
          <cell r="G525" t="str">
            <v>tp</v>
          </cell>
          <cell r="H525">
            <v>0.2</v>
          </cell>
          <cell r="I525" t="str">
            <v>M</v>
          </cell>
          <cell r="L525" t="str">
            <v>3.</v>
          </cell>
          <cell r="N525" t="str">
            <v>Alat  Bantu</v>
          </cell>
          <cell r="P525" t="str">
            <v>Ls</v>
          </cell>
          <cell r="Q525">
            <v>1</v>
          </cell>
          <cell r="R525">
            <v>1000</v>
          </cell>
          <cell r="U525">
            <v>1000</v>
          </cell>
        </row>
        <row r="528">
          <cell r="C528" t="str">
            <v>Kap. Prod. / Jam   =</v>
          </cell>
          <cell r="D528" t="str">
            <v>v x 1000 x Fa x Lb x 60</v>
          </cell>
          <cell r="G528" t="str">
            <v>Q1</v>
          </cell>
          <cell r="H528">
            <v>3.3200000000000003</v>
          </cell>
          <cell r="I528" t="str">
            <v xml:space="preserve">M3 / Jam </v>
          </cell>
        </row>
        <row r="529">
          <cell r="D529" t="str">
            <v xml:space="preserve">    n x tp</v>
          </cell>
        </row>
        <row r="531">
          <cell r="C531" t="str">
            <v>Koefisien Alat / m'</v>
          </cell>
          <cell r="D531" t="str">
            <v xml:space="preserve"> =  1  :  Q1 x Vp</v>
          </cell>
          <cell r="G531" t="str">
            <v>(E25)</v>
          </cell>
          <cell r="H531">
            <v>0.46756400602409631</v>
          </cell>
          <cell r="I531" t="str">
            <v>jam</v>
          </cell>
          <cell r="Q531" t="str">
            <v xml:space="preserve">JUMLAH HARGA PERALATAN   </v>
          </cell>
          <cell r="U531">
            <v>66466.301863867222</v>
          </cell>
        </row>
        <row r="533">
          <cell r="A533" t="str">
            <v>2.b.</v>
          </cell>
          <cell r="C533" t="str">
            <v>DUMP TRUCK</v>
          </cell>
          <cell r="G533" t="str">
            <v>(E08)</v>
          </cell>
          <cell r="L533" t="str">
            <v>D.</v>
          </cell>
          <cell r="N533" t="str">
            <v>JUMLAH HARGA TENAGA, BAHAN DAN PERALATAN  ( A + B + C )</v>
          </cell>
          <cell r="U533">
            <v>407222.97398669057</v>
          </cell>
        </row>
        <row r="534">
          <cell r="C534" t="str">
            <v>Kapasitas bak sekali muat</v>
          </cell>
          <cell r="G534" t="str">
            <v>V</v>
          </cell>
          <cell r="H534">
            <v>4</v>
          </cell>
          <cell r="I534" t="str">
            <v>Buah/M'</v>
          </cell>
          <cell r="L534" t="str">
            <v>E.</v>
          </cell>
          <cell r="N534" t="str">
            <v>OVERHEAD &amp; PROFIT</v>
          </cell>
          <cell r="P534">
            <v>10</v>
          </cell>
          <cell r="Q534" t="str">
            <v>%  x  D</v>
          </cell>
          <cell r="U534">
            <v>40722.297398669063</v>
          </cell>
        </row>
        <row r="535">
          <cell r="C535" t="str">
            <v>Faktor efisiensi alat</v>
          </cell>
          <cell r="G535" t="str">
            <v>Fa</v>
          </cell>
          <cell r="H535">
            <v>0.83</v>
          </cell>
          <cell r="L535" t="str">
            <v>F.</v>
          </cell>
          <cell r="N535" t="str">
            <v>HARGA SATUAN PEKERJAAN  ( D + E )</v>
          </cell>
          <cell r="U535">
            <v>447945.27138535964</v>
          </cell>
        </row>
        <row r="536">
          <cell r="C536" t="str">
            <v>Kecepatanrata-rata bermuatan</v>
          </cell>
          <cell r="G536" t="str">
            <v>v1</v>
          </cell>
          <cell r="H536">
            <v>40</v>
          </cell>
          <cell r="L536" t="str">
            <v>Note: 1</v>
          </cell>
          <cell r="N536" t="str">
            <v>SATUAN dapat berdasarkan atas jam operasi untuk Tenaga Kerja dan Peralatan, volume dan/atau ukuran</v>
          </cell>
        </row>
        <row r="537">
          <cell r="C537" t="str">
            <v>Kecepatan rata-rata kosong</v>
          </cell>
          <cell r="G537" t="str">
            <v>v2</v>
          </cell>
          <cell r="H537">
            <v>50</v>
          </cell>
          <cell r="N537" t="str">
            <v>berat untuk bahan-bahan.</v>
          </cell>
        </row>
        <row r="538">
          <cell r="C538" t="str">
            <v>Waktu siklus    :</v>
          </cell>
          <cell r="G538" t="str">
            <v>Ts</v>
          </cell>
          <cell r="L538">
            <v>2</v>
          </cell>
          <cell r="N538" t="str">
            <v>Kuantitas satuan adalah kuantitas setiap komponen untuk menyelesaikan satu satuan pekerjaan dari nomor</v>
          </cell>
        </row>
        <row r="539">
          <cell r="C539" t="str">
            <v>- Waktu  tempuh in  si    = (L : v1 ) x 60</v>
          </cell>
          <cell r="G539" t="str">
            <v>T1</v>
          </cell>
          <cell r="H539">
            <v>13.087499999999999</v>
          </cell>
          <cell r="I539" t="str">
            <v>menit</v>
          </cell>
          <cell r="N539" t="str">
            <v>mata pembayaran.</v>
          </cell>
        </row>
        <row r="540">
          <cell r="C540" t="str">
            <v>-  Waktutempuh kosong  = (L : v2)  x  60</v>
          </cell>
          <cell r="G540" t="str">
            <v>T2</v>
          </cell>
          <cell r="H540">
            <v>10.469999999999999</v>
          </cell>
          <cell r="I540" t="str">
            <v>menit</v>
          </cell>
          <cell r="L540">
            <v>3</v>
          </cell>
          <cell r="N540" t="str">
            <v>Biaya satuan untuk peralatan sudah termasuk bahan bakar, bahan habis dipakai dan operator.</v>
          </cell>
        </row>
        <row r="541">
          <cell r="C541" t="str">
            <v>- Muat, bongkar dan lain-lain</v>
          </cell>
          <cell r="G541" t="str">
            <v>T3</v>
          </cell>
          <cell r="H541">
            <v>50</v>
          </cell>
          <cell r="I541" t="str">
            <v>menit</v>
          </cell>
          <cell r="L541">
            <v>4</v>
          </cell>
          <cell r="N541" t="str">
            <v>Biaya satuan sudah termasuk pengeluaran untuk seluruh pajak yang berkaitan (tetapi tidak termasuk PPN</v>
          </cell>
        </row>
        <row r="542">
          <cell r="G542" t="str">
            <v>Ts</v>
          </cell>
          <cell r="H542">
            <v>73.557500000000005</v>
          </cell>
          <cell r="I542" t="str">
            <v>menit</v>
          </cell>
          <cell r="N542" t="str">
            <v>yang dibayar dari kontrak) dan biaya-biaya lainnya.</v>
          </cell>
        </row>
        <row r="543">
          <cell r="J543" t="str">
            <v>Berlanjut ke halaman berikut</v>
          </cell>
        </row>
        <row r="544">
          <cell r="A544" t="str">
            <v>ITEM PEMBAYARAN NO.</v>
          </cell>
          <cell r="D544" t="str">
            <v>:  2.3 (3)</v>
          </cell>
          <cell r="J544" t="str">
            <v xml:space="preserve">Analisa EI-233 </v>
          </cell>
        </row>
        <row r="545">
          <cell r="A545" t="str">
            <v>JENIS PEKERJAAN</v>
          </cell>
          <cell r="D545" t="str">
            <v>:  Gorong2 Pipa Beton Bertulang 500 mm &lt; diameter dalam &lt; 1 m</v>
          </cell>
        </row>
        <row r="546">
          <cell r="A546" t="str">
            <v>SATUAN PEMBAYARAN</v>
          </cell>
          <cell r="D546" t="str">
            <v>:  M1</v>
          </cell>
          <cell r="J546" t="str">
            <v xml:space="preserve">         URAIAN ANALISA HARGA SATUAN</v>
          </cell>
        </row>
        <row r="547">
          <cell r="J547" t="str">
            <v>Lanjutan</v>
          </cell>
        </row>
        <row r="549">
          <cell r="A549" t="str">
            <v>No.</v>
          </cell>
          <cell r="C549" t="str">
            <v>U R A I A N</v>
          </cell>
          <cell r="G549" t="str">
            <v>KODE</v>
          </cell>
          <cell r="H549" t="str">
            <v>KOEF.</v>
          </cell>
          <cell r="I549" t="str">
            <v>SATUAN</v>
          </cell>
          <cell r="J549" t="str">
            <v>KETERANGAN</v>
          </cell>
        </row>
        <row r="552">
          <cell r="C552" t="str">
            <v>Kapasitas Produksi / Jam   =</v>
          </cell>
          <cell r="E552" t="str">
            <v>V x Fa x 60</v>
          </cell>
          <cell r="G552" t="str">
            <v>Q2</v>
          </cell>
          <cell r="H552">
            <v>2.7080855113346698</v>
          </cell>
          <cell r="I552" t="str">
            <v xml:space="preserve">M' / Jam </v>
          </cell>
        </row>
        <row r="553">
          <cell r="E553" t="str">
            <v xml:space="preserve">    Ts</v>
          </cell>
        </row>
        <row r="555">
          <cell r="C555" t="str">
            <v>Koefisien Alat / m'</v>
          </cell>
          <cell r="D555" t="str">
            <v xml:space="preserve"> =  1  :  Q2</v>
          </cell>
          <cell r="G555" t="str">
            <v>(E08)</v>
          </cell>
          <cell r="H555">
            <v>0.36926455823293175</v>
          </cell>
          <cell r="I555" t="str">
            <v>jam</v>
          </cell>
        </row>
        <row r="558">
          <cell r="A558" t="str">
            <v>2.c.</v>
          </cell>
          <cell r="C558" t="str">
            <v>ALAT  BANTU</v>
          </cell>
        </row>
        <row r="559">
          <cell r="C559" t="str">
            <v>Diperlukan alat-alat bantu kecil</v>
          </cell>
          <cell r="J559" t="str">
            <v>Lump Sump</v>
          </cell>
        </row>
        <row r="560">
          <cell r="C560" t="str">
            <v>- Sekop    =         3   buah</v>
          </cell>
        </row>
        <row r="561">
          <cell r="C561" t="str">
            <v>- Pacul     =         3   buah</v>
          </cell>
        </row>
        <row r="562">
          <cell r="C562" t="str">
            <v>- Alat-alat kecil lain</v>
          </cell>
        </row>
        <row r="564">
          <cell r="A564" t="str">
            <v xml:space="preserve">   3.</v>
          </cell>
          <cell r="C564" t="str">
            <v>TENAGA</v>
          </cell>
        </row>
        <row r="565">
          <cell r="C565" t="str">
            <v>Produksi Gorong-gorong / hari</v>
          </cell>
          <cell r="G565" t="str">
            <v>Qt</v>
          </cell>
          <cell r="H565">
            <v>6</v>
          </cell>
          <cell r="I565" t="str">
            <v>M'</v>
          </cell>
        </row>
        <row r="566">
          <cell r="C566" t="str">
            <v>Kebutuhan tenaga :</v>
          </cell>
        </row>
        <row r="567">
          <cell r="D567" t="str">
            <v>- Pekerja</v>
          </cell>
          <cell r="G567" t="str">
            <v>P</v>
          </cell>
          <cell r="H567">
            <v>8</v>
          </cell>
          <cell r="I567" t="str">
            <v>orang</v>
          </cell>
        </row>
        <row r="568">
          <cell r="D568" t="str">
            <v>- Tukang</v>
          </cell>
          <cell r="G568" t="str">
            <v>T</v>
          </cell>
          <cell r="H568">
            <v>1</v>
          </cell>
          <cell r="I568" t="str">
            <v>orang</v>
          </cell>
        </row>
        <row r="569">
          <cell r="D569" t="str">
            <v>- Mandor</v>
          </cell>
          <cell r="G569" t="str">
            <v>M</v>
          </cell>
          <cell r="H569">
            <v>1</v>
          </cell>
          <cell r="I569" t="str">
            <v>orang</v>
          </cell>
        </row>
        <row r="571">
          <cell r="C571" t="str">
            <v>Koefisien tenaga / M'   :</v>
          </cell>
        </row>
        <row r="572">
          <cell r="D572" t="str">
            <v>- Pekerja</v>
          </cell>
          <cell r="E572" t="str">
            <v>= (Tk x P) : Qt</v>
          </cell>
          <cell r="G572" t="str">
            <v>(L01)</v>
          </cell>
          <cell r="H572">
            <v>9.3333333333333339</v>
          </cell>
          <cell r="I572" t="str">
            <v>jam</v>
          </cell>
        </row>
        <row r="573">
          <cell r="D573" t="str">
            <v>- Tukang</v>
          </cell>
          <cell r="E573" t="str">
            <v>= (Tk x T) : Qt</v>
          </cell>
          <cell r="G573" t="str">
            <v>(L02)</v>
          </cell>
          <cell r="H573">
            <v>1.1666666666666667</v>
          </cell>
          <cell r="I573" t="str">
            <v>jam</v>
          </cell>
        </row>
        <row r="574">
          <cell r="D574" t="str">
            <v>- Mandor</v>
          </cell>
          <cell r="E574" t="str">
            <v>= (Tk x M) : Qt</v>
          </cell>
          <cell r="G574" t="str">
            <v>(L03)</v>
          </cell>
          <cell r="H574">
            <v>1.1666666666666667</v>
          </cell>
          <cell r="I574" t="str">
            <v>jam</v>
          </cell>
        </row>
        <row r="576">
          <cell r="A576" t="str">
            <v>4.</v>
          </cell>
          <cell r="C576" t="str">
            <v>HARGA DASAR SATUAN UPAH, BAHAN DAN ALAT</v>
          </cell>
        </row>
        <row r="577">
          <cell r="C577" t="str">
            <v>Lihat lampiran.</v>
          </cell>
        </row>
        <row r="580">
          <cell r="A580" t="str">
            <v>5.</v>
          </cell>
          <cell r="C580" t="str">
            <v>ANALISA HARGA SATUAN PEKERJAAN</v>
          </cell>
        </row>
        <row r="581">
          <cell r="C581" t="str">
            <v>Lihat perhitungan dalam FORMULIR STANDAR UNTUK</v>
          </cell>
        </row>
        <row r="582">
          <cell r="C582" t="str">
            <v>PEREKEMAN ANALISA MASING-MASING HARGA</v>
          </cell>
        </row>
        <row r="583">
          <cell r="C583" t="str">
            <v>SATUAN.</v>
          </cell>
        </row>
        <row r="584">
          <cell r="C584" t="str">
            <v>Didapat Harga Satuan Pekerjaan :</v>
          </cell>
        </row>
        <row r="586">
          <cell r="C586" t="str">
            <v xml:space="preserve">Rp.  </v>
          </cell>
          <cell r="D586">
            <v>447945.27138535964</v>
          </cell>
          <cell r="E586" t="str">
            <v xml:space="preserve"> / M'</v>
          </cell>
        </row>
        <row r="589">
          <cell r="A589" t="str">
            <v>6.</v>
          </cell>
          <cell r="C589" t="str">
            <v>WAKTU PELAKSANAAN YANG DIPERLUKAN</v>
          </cell>
        </row>
        <row r="590">
          <cell r="C590" t="str">
            <v>Masa Pelaksanaan :</v>
          </cell>
          <cell r="D590" t="str">
            <v>. . . . . . . . . . . .</v>
          </cell>
          <cell r="E590" t="str">
            <v>bulan</v>
          </cell>
        </row>
        <row r="592">
          <cell r="A592" t="str">
            <v>7.</v>
          </cell>
          <cell r="C592" t="str">
            <v>VOLUME PEKERJAAN YANG DIPERLUKAN</v>
          </cell>
        </row>
        <row r="593">
          <cell r="C593" t="str">
            <v>Volume pekerjaan  :</v>
          </cell>
          <cell r="D593">
            <v>1</v>
          </cell>
          <cell r="E593" t="str">
            <v>M'</v>
          </cell>
        </row>
        <row r="603">
          <cell r="A603" t="str">
            <v>ITEM PEMBAYARAN NO.</v>
          </cell>
          <cell r="D603" t="str">
            <v>:  2.3 (4)</v>
          </cell>
          <cell r="J603" t="str">
            <v>Analisa EI-234</v>
          </cell>
        </row>
        <row r="604">
          <cell r="A604" t="str">
            <v>JENIS PEKERJAAN</v>
          </cell>
          <cell r="D604" t="str">
            <v>:  Gorong2 Pipa Beton Bertulang, 1 m &lt; diameter dalam &lt; 1.3 m</v>
          </cell>
          <cell r="L604" t="str">
            <v>FORMULIR STANDAR UNTUK</v>
          </cell>
        </row>
        <row r="605">
          <cell r="A605" t="str">
            <v>SATUAN PEMBAYARAN</v>
          </cell>
          <cell r="D605" t="str">
            <v>:  M1</v>
          </cell>
          <cell r="J605" t="str">
            <v xml:space="preserve">         URAIAN ANALISA HARGA SATUAN</v>
          </cell>
          <cell r="L605" t="str">
            <v>PEREKAMAN ANALISA MASING-MASING HARGA SATUAN</v>
          </cell>
        </row>
        <row r="606">
          <cell r="L606" t="str">
            <v xml:space="preserve">                                                                                                            </v>
          </cell>
        </row>
        <row r="608">
          <cell r="A608" t="str">
            <v>No.</v>
          </cell>
          <cell r="C608" t="str">
            <v>U R A I A N</v>
          </cell>
          <cell r="G608" t="str">
            <v>KODE</v>
          </cell>
          <cell r="H608" t="str">
            <v>KOEF.</v>
          </cell>
          <cell r="I608" t="str">
            <v>SATUAN</v>
          </cell>
          <cell r="J608" t="str">
            <v>KETERANGAN</v>
          </cell>
        </row>
        <row r="609">
          <cell r="L609" t="str">
            <v>PROYEK</v>
          </cell>
          <cell r="O609" t="str">
            <v>:</v>
          </cell>
        </row>
        <row r="610">
          <cell r="L610" t="str">
            <v>No. PAKET KONTRAK</v>
          </cell>
          <cell r="O610" t="str">
            <v>:</v>
          </cell>
        </row>
        <row r="611">
          <cell r="A611" t="str">
            <v>I.</v>
          </cell>
          <cell r="C611" t="str">
            <v>ASUMSI</v>
          </cell>
          <cell r="L611" t="str">
            <v>NAMA PAKET</v>
          </cell>
          <cell r="O611" t="str">
            <v>:</v>
          </cell>
        </row>
        <row r="612">
          <cell r="A612">
            <v>1</v>
          </cell>
          <cell r="C612" t="str">
            <v>Pekerjaan dilakukan secara mekanik/manual</v>
          </cell>
          <cell r="L612" t="str">
            <v>PROP / KAB / KODYA</v>
          </cell>
          <cell r="O612" t="str">
            <v>:</v>
          </cell>
        </row>
        <row r="613">
          <cell r="A613">
            <v>2</v>
          </cell>
          <cell r="C613" t="str">
            <v>Lokasi pekerjaan : sepanjang jalan</v>
          </cell>
          <cell r="L613" t="str">
            <v>ITEM PEMBAYARAN NO.</v>
          </cell>
          <cell r="O613" t="str">
            <v>:  2.3 (4)</v>
          </cell>
          <cell r="R613" t="str">
            <v>PERKIRAAN VOL. PEK.</v>
          </cell>
          <cell r="T613" t="str">
            <v>:</v>
          </cell>
          <cell r="U613">
            <v>1</v>
          </cell>
        </row>
        <row r="614">
          <cell r="A614">
            <v>3</v>
          </cell>
          <cell r="C614" t="str">
            <v>Diameter bagian dalam gorong-gorong</v>
          </cell>
          <cell r="G614" t="str">
            <v>d</v>
          </cell>
          <cell r="H614">
            <v>1.2</v>
          </cell>
          <cell r="I614" t="str">
            <v>m</v>
          </cell>
          <cell r="L614" t="str">
            <v>JENIS PEKERJAAN</v>
          </cell>
          <cell r="O614" t="str">
            <v>:  Gorong2 Pipa Beton Bertulang, 1 m &lt; diameter dalam &lt; 1.3 m</v>
          </cell>
          <cell r="R614" t="str">
            <v>TOTAL HARGA (Rp.)</v>
          </cell>
          <cell r="T614" t="str">
            <v>:</v>
          </cell>
          <cell r="U614">
            <v>447945.27138535964</v>
          </cell>
        </row>
        <row r="615">
          <cell r="A615">
            <v>4</v>
          </cell>
          <cell r="C615" t="str">
            <v>Jarak rata-rata Base Camp ke lokasi pekerjaan</v>
          </cell>
          <cell r="G615" t="str">
            <v>L</v>
          </cell>
          <cell r="H615">
            <v>8.7249999999999996</v>
          </cell>
          <cell r="I615" t="str">
            <v>Km</v>
          </cell>
          <cell r="L615" t="str">
            <v>SATUAN PEMBAYARAN</v>
          </cell>
          <cell r="O615" t="str">
            <v>:  M1</v>
          </cell>
          <cell r="Q615">
            <v>0</v>
          </cell>
          <cell r="R615" t="str">
            <v>% THD. BIAYA PROYEK</v>
          </cell>
          <cell r="T615" t="str">
            <v>:</v>
          </cell>
          <cell r="U615" t="e">
            <v>#DIV/0!</v>
          </cell>
        </row>
        <row r="616">
          <cell r="A616">
            <v>5</v>
          </cell>
          <cell r="C616" t="str">
            <v>Jam kerja efektif per-hari</v>
          </cell>
          <cell r="G616" t="str">
            <v>Tk</v>
          </cell>
          <cell r="H616">
            <v>7</v>
          </cell>
          <cell r="I616" t="str">
            <v>Jam</v>
          </cell>
        </row>
        <row r="617">
          <cell r="A617">
            <v>6</v>
          </cell>
          <cell r="C617" t="str">
            <v>Tebal gorong-gorong</v>
          </cell>
          <cell r="G617" t="str">
            <v>tg</v>
          </cell>
          <cell r="H617">
            <v>10</v>
          </cell>
          <cell r="I617" t="str">
            <v>Cm</v>
          </cell>
        </row>
        <row r="618">
          <cell r="Q618" t="str">
            <v>PERKIRAAN</v>
          </cell>
          <cell r="R618" t="str">
            <v>HARGA</v>
          </cell>
          <cell r="S618" t="str">
            <v>JUMLAH</v>
          </cell>
        </row>
        <row r="619">
          <cell r="A619" t="str">
            <v>II.</v>
          </cell>
          <cell r="C619" t="str">
            <v>URUTAN KERJA</v>
          </cell>
          <cell r="L619" t="str">
            <v>NO.</v>
          </cell>
          <cell r="N619" t="str">
            <v>KOMPONEN</v>
          </cell>
          <cell r="P619" t="str">
            <v>SATUAN</v>
          </cell>
          <cell r="Q619" t="str">
            <v>KUANTITAS</v>
          </cell>
          <cell r="R619" t="str">
            <v>SATUAN</v>
          </cell>
          <cell r="S619" t="str">
            <v>HARGA</v>
          </cell>
        </row>
        <row r="620">
          <cell r="A620">
            <v>1</v>
          </cell>
          <cell r="C620" t="str">
            <v>Gorong-gorong dicetak di Base Camp</v>
          </cell>
          <cell r="R620" t="str">
            <v>(Rp.)</v>
          </cell>
          <cell r="S620" t="str">
            <v>(Rp.)</v>
          </cell>
        </row>
        <row r="621">
          <cell r="A621">
            <v>2</v>
          </cell>
          <cell r="C621" t="str">
            <v>Dump Truck mengangkut gorong-gorong jadi</v>
          </cell>
        </row>
        <row r="622">
          <cell r="C622" t="str">
            <v>ke lapangan</v>
          </cell>
        </row>
        <row r="623">
          <cell r="A623">
            <v>3</v>
          </cell>
          <cell r="C623" t="str">
            <v>Dasar gorong-gorong digali sesuai kebutuhan dan ma-</v>
          </cell>
          <cell r="L623" t="str">
            <v>A.</v>
          </cell>
          <cell r="N623" t="str">
            <v>TENAGA</v>
          </cell>
        </row>
        <row r="624">
          <cell r="C624" t="str">
            <v>terial backfill dipadatkan dengan Tamper</v>
          </cell>
        </row>
        <row r="625">
          <cell r="A625">
            <v>4</v>
          </cell>
          <cell r="C625" t="str">
            <v>Tebal lapis porus pada dasar gorong-gorong pipa</v>
          </cell>
          <cell r="G625" t="str">
            <v>tp</v>
          </cell>
          <cell r="H625">
            <v>0.18</v>
          </cell>
          <cell r="I625" t="str">
            <v>M</v>
          </cell>
          <cell r="J625" t="str">
            <v xml:space="preserve"> Sand bedding</v>
          </cell>
          <cell r="L625" t="str">
            <v>1.</v>
          </cell>
          <cell r="N625" t="str">
            <v>Pekerja</v>
          </cell>
          <cell r="O625" t="str">
            <v>(L01)</v>
          </cell>
          <cell r="P625" t="str">
            <v>Jam</v>
          </cell>
          <cell r="Q625">
            <v>9.3333333333333339</v>
          </cell>
          <cell r="R625">
            <v>2857.14</v>
          </cell>
          <cell r="U625">
            <v>26666.639999999999</v>
          </cell>
        </row>
        <row r="626">
          <cell r="A626">
            <v>5</v>
          </cell>
          <cell r="C626" t="str">
            <v>Material pilihan untuk penimbunan kembali (padat)</v>
          </cell>
          <cell r="L626" t="str">
            <v>2.</v>
          </cell>
          <cell r="N626" t="str">
            <v>Tukang</v>
          </cell>
          <cell r="O626" t="str">
            <v>(L02)</v>
          </cell>
          <cell r="P626" t="str">
            <v>Jam</v>
          </cell>
          <cell r="Q626">
            <v>1.1666666666666667</v>
          </cell>
          <cell r="R626">
            <v>4285.71</v>
          </cell>
          <cell r="U626">
            <v>4999.9950000000008</v>
          </cell>
        </row>
        <row r="627">
          <cell r="A627">
            <v>6</v>
          </cell>
          <cell r="C627" t="str">
            <v>Sekelompok pekerja akan melaksanakan pekerjaan</v>
          </cell>
          <cell r="L627" t="str">
            <v>3.</v>
          </cell>
          <cell r="N627" t="str">
            <v>Mandor</v>
          </cell>
          <cell r="O627" t="str">
            <v>(L03)</v>
          </cell>
          <cell r="P627" t="str">
            <v>Jam</v>
          </cell>
          <cell r="Q627">
            <v>1.1666666666666667</v>
          </cell>
          <cell r="R627">
            <v>3214.29</v>
          </cell>
          <cell r="U627">
            <v>3750.0050000000001</v>
          </cell>
        </row>
        <row r="628">
          <cell r="C628" t="str">
            <v>dengan cara manual dengan menggunakan alat bantu</v>
          </cell>
        </row>
        <row r="629">
          <cell r="Q629" t="str">
            <v xml:space="preserve">JUMLAH HARGA TENAGA   </v>
          </cell>
          <cell r="U629">
            <v>35416.639999999999</v>
          </cell>
        </row>
        <row r="631">
          <cell r="A631" t="str">
            <v>III.</v>
          </cell>
          <cell r="C631" t="str">
            <v>PEMAKAIAN BAHAN, ALAT DAN TENAGA</v>
          </cell>
          <cell r="L631" t="str">
            <v>B.</v>
          </cell>
          <cell r="N631" t="str">
            <v>BAHAN</v>
          </cell>
        </row>
        <row r="632">
          <cell r="A632" t="str">
            <v xml:space="preserve">   1.</v>
          </cell>
          <cell r="C632" t="str">
            <v>BAHAN</v>
          </cell>
        </row>
        <row r="633">
          <cell r="C633" t="str">
            <v>Untuk mendapatkan 1 M' gorong-gorong diperlukan</v>
          </cell>
          <cell r="L633" t="str">
            <v>1.</v>
          </cell>
          <cell r="N633" t="str">
            <v>Beton K-300</v>
          </cell>
          <cell r="O633" t="str">
            <v>(EI-714)</v>
          </cell>
          <cell r="P633" t="str">
            <v>M3</v>
          </cell>
          <cell r="Q633">
            <v>0.40840704496667279</v>
          </cell>
          <cell r="R633">
            <v>652902.54982502444</v>
          </cell>
          <cell r="U633">
            <v>266650.00102524407</v>
          </cell>
        </row>
        <row r="634">
          <cell r="C634" t="str">
            <v>- Beton K-300 = (22/7*((2*tg/100+d)/2)^2)-(22/7*(d/2)^2))*1</v>
          </cell>
          <cell r="G634" t="str">
            <v>(EI-714)</v>
          </cell>
          <cell r="H634">
            <v>0.40840704496667279</v>
          </cell>
          <cell r="I634" t="str">
            <v>M3</v>
          </cell>
          <cell r="L634" t="str">
            <v>2.</v>
          </cell>
          <cell r="N634" t="str">
            <v>Baja Tulangan</v>
          </cell>
          <cell r="O634" t="str">
            <v>(M39)</v>
          </cell>
          <cell r="P634" t="str">
            <v>Kg</v>
          </cell>
          <cell r="Q634">
            <v>44.924774946334011</v>
          </cell>
          <cell r="R634">
            <v>4000</v>
          </cell>
          <cell r="U634">
            <v>179699.09978533603</v>
          </cell>
        </row>
        <row r="635">
          <cell r="C635" t="str">
            <v>- Baja Tulangan (asumsi 100kg/m3)</v>
          </cell>
          <cell r="G635" t="str">
            <v>(M39)</v>
          </cell>
          <cell r="H635">
            <v>44.924774946334011</v>
          </cell>
          <cell r="I635" t="str">
            <v>Kg</v>
          </cell>
          <cell r="L635" t="str">
            <v>3.</v>
          </cell>
          <cell r="N635" t="str">
            <v>Urugan Porus</v>
          </cell>
          <cell r="O635" t="str">
            <v>(EI-241)</v>
          </cell>
          <cell r="P635" t="str">
            <v>M3</v>
          </cell>
          <cell r="Q635">
            <v>0.41580000000000006</v>
          </cell>
          <cell r="R635">
            <v>186901.40625406182</v>
          </cell>
          <cell r="U635">
            <v>77713.604720438918</v>
          </cell>
        </row>
        <row r="636">
          <cell r="C636" t="str">
            <v>- Timbunan Porus      = {(tp*(0.4+2*tg/100+d+0.4)*1)*1.05}</v>
          </cell>
          <cell r="G636" t="str">
            <v>(EI-241)</v>
          </cell>
          <cell r="H636">
            <v>0.41580000000000006</v>
          </cell>
          <cell r="I636" t="str">
            <v>M3</v>
          </cell>
          <cell r="L636" t="str">
            <v>4.</v>
          </cell>
          <cell r="N636" t="str">
            <v>Mat. Pilihan</v>
          </cell>
          <cell r="O636" t="str">
            <v>(M09)</v>
          </cell>
          <cell r="P636" t="str">
            <v>M3</v>
          </cell>
          <cell r="Q636">
            <v>2.3100000000000005</v>
          </cell>
          <cell r="R636">
            <v>25000</v>
          </cell>
          <cell r="U636">
            <v>57750.000000000015</v>
          </cell>
        </row>
        <row r="637">
          <cell r="C637" t="str">
            <v>- Material Pilihan</v>
          </cell>
          <cell r="D637" t="str">
            <v>= ((2*tg/100+d+0.3)*(0.4+2*tg/100+d+0.4)</v>
          </cell>
          <cell r="G637" t="str">
            <v>(M09)</v>
          </cell>
          <cell r="H637">
            <v>2.3100000000000005</v>
          </cell>
          <cell r="I637" t="str">
            <v>M3</v>
          </cell>
          <cell r="J637" t="str">
            <v xml:space="preserve"> = Vp</v>
          </cell>
        </row>
        <row r="638">
          <cell r="D638" t="str">
            <v xml:space="preserve">   -(22/7*(0.5*(2*tg/100+d))^2))*1*1.05</v>
          </cell>
        </row>
        <row r="639">
          <cell r="A639" t="str">
            <v xml:space="preserve">   2.</v>
          </cell>
          <cell r="C639" t="str">
            <v>ALAT</v>
          </cell>
          <cell r="Q639" t="str">
            <v xml:space="preserve">JUMLAH HARGA BAHAN   </v>
          </cell>
          <cell r="U639">
            <v>581812.70553101902</v>
          </cell>
        </row>
        <row r="640">
          <cell r="A640" t="str">
            <v>2.a.</v>
          </cell>
          <cell r="C640" t="str">
            <v>TAMPER</v>
          </cell>
          <cell r="G640" t="str">
            <v>(E25)</v>
          </cell>
        </row>
        <row r="641">
          <cell r="C641" t="str">
            <v>Kecepatan</v>
          </cell>
          <cell r="G641" t="str">
            <v>V</v>
          </cell>
          <cell r="H641">
            <v>0.5</v>
          </cell>
          <cell r="I641" t="str">
            <v>Km / Jam</v>
          </cell>
          <cell r="L641" t="str">
            <v>C.</v>
          </cell>
          <cell r="N641" t="str">
            <v>PERALATAN</v>
          </cell>
        </row>
        <row r="642">
          <cell r="C642" t="str">
            <v>Efisiensi alat</v>
          </cell>
          <cell r="G642" t="str">
            <v>Fa</v>
          </cell>
          <cell r="H642">
            <v>0.83</v>
          </cell>
          <cell r="I642" t="str">
            <v>-</v>
          </cell>
        </row>
        <row r="643">
          <cell r="C643" t="str">
            <v>Lebar pemadatan</v>
          </cell>
          <cell r="G643" t="str">
            <v>Lb</v>
          </cell>
          <cell r="H643">
            <v>0.4</v>
          </cell>
          <cell r="I643" t="str">
            <v>M</v>
          </cell>
          <cell r="L643" t="str">
            <v>1.</v>
          </cell>
          <cell r="N643" t="str">
            <v>Tamper</v>
          </cell>
          <cell r="O643" t="str">
            <v>(E25)</v>
          </cell>
          <cell r="P643" t="str">
            <v>Jam</v>
          </cell>
          <cell r="Q643">
            <v>0.69578313253012058</v>
          </cell>
          <cell r="R643">
            <v>18672.16854694486</v>
          </cell>
          <cell r="U643">
            <v>12991.779922723685</v>
          </cell>
        </row>
        <row r="644">
          <cell r="C644" t="str">
            <v>Banyak lintasan</v>
          </cell>
          <cell r="G644" t="str">
            <v>n</v>
          </cell>
          <cell r="H644">
            <v>10</v>
          </cell>
          <cell r="I644" t="str">
            <v>lintasan</v>
          </cell>
          <cell r="L644" t="str">
            <v>2.</v>
          </cell>
          <cell r="N644" t="str">
            <v>Dump Truck</v>
          </cell>
          <cell r="O644" t="str">
            <v>(E08)</v>
          </cell>
          <cell r="P644" t="str">
            <v>Jam</v>
          </cell>
          <cell r="Q644">
            <v>0.36926455823293175</v>
          </cell>
          <cell r="R644">
            <v>153645.58193291764</v>
          </cell>
          <cell r="U644">
            <v>56735.867936900555</v>
          </cell>
        </row>
        <row r="645">
          <cell r="C645" t="str">
            <v>Tebal lapis hamparan</v>
          </cell>
          <cell r="G645" t="str">
            <v>tp</v>
          </cell>
          <cell r="H645">
            <v>0.2</v>
          </cell>
          <cell r="I645" t="str">
            <v>M</v>
          </cell>
          <cell r="L645" t="str">
            <v>3.</v>
          </cell>
          <cell r="N645" t="str">
            <v>Alat  Bantu</v>
          </cell>
          <cell r="P645" t="str">
            <v>Ls</v>
          </cell>
          <cell r="Q645">
            <v>1</v>
          </cell>
          <cell r="R645">
            <v>1000</v>
          </cell>
          <cell r="U645">
            <v>1000</v>
          </cell>
        </row>
        <row r="648">
          <cell r="C648" t="str">
            <v>Kap. Prod. / Jam   =</v>
          </cell>
          <cell r="D648" t="str">
            <v>v x 1000 x Fa x Lb x 60</v>
          </cell>
          <cell r="G648" t="str">
            <v>Q1</v>
          </cell>
          <cell r="H648">
            <v>3.3200000000000003</v>
          </cell>
          <cell r="I648" t="str">
            <v xml:space="preserve">M3 / Jam </v>
          </cell>
        </row>
        <row r="649">
          <cell r="D649" t="str">
            <v xml:space="preserve">    n x tp</v>
          </cell>
        </row>
        <row r="651">
          <cell r="C651" t="str">
            <v>Koefisien Alat / m'</v>
          </cell>
          <cell r="D651" t="str">
            <v xml:space="preserve"> =  1  :  Q1 x Vp</v>
          </cell>
          <cell r="G651" t="str">
            <v>(E25)</v>
          </cell>
          <cell r="H651">
            <v>0.69578313253012058</v>
          </cell>
          <cell r="I651" t="str">
            <v>jam</v>
          </cell>
          <cell r="Q651" t="str">
            <v xml:space="preserve">JUMLAH HARGA PERALATAN   </v>
          </cell>
          <cell r="U651">
            <v>70727.647859624238</v>
          </cell>
        </row>
        <row r="653">
          <cell r="A653" t="str">
            <v>2.b.</v>
          </cell>
          <cell r="C653" t="str">
            <v>DUMP TRUCK</v>
          </cell>
          <cell r="G653" t="str">
            <v>(E08)</v>
          </cell>
          <cell r="L653" t="str">
            <v>D.</v>
          </cell>
          <cell r="N653" t="str">
            <v>JUMLAH HARGA TENAGA, BAHAN DAN PERALATAN  ( A + B + C )</v>
          </cell>
          <cell r="U653">
            <v>687956.99339064327</v>
          </cell>
        </row>
        <row r="654">
          <cell r="C654" t="str">
            <v>Kapasitas bak sekali muat</v>
          </cell>
          <cell r="G654" t="str">
            <v>V</v>
          </cell>
          <cell r="H654">
            <v>4</v>
          </cell>
          <cell r="I654" t="str">
            <v>Buah/M'</v>
          </cell>
          <cell r="L654" t="str">
            <v>E.</v>
          </cell>
          <cell r="N654" t="str">
            <v>OVERHEAD &amp; PROFIT</v>
          </cell>
          <cell r="P654">
            <v>10</v>
          </cell>
          <cell r="Q654" t="str">
            <v>%  x  D</v>
          </cell>
          <cell r="U654">
            <v>68795.699339064333</v>
          </cell>
        </row>
        <row r="655">
          <cell r="C655" t="str">
            <v>Faktor efisiensi alat</v>
          </cell>
          <cell r="G655" t="str">
            <v>Fa</v>
          </cell>
          <cell r="H655">
            <v>0.83</v>
          </cell>
          <cell r="L655" t="str">
            <v>F.</v>
          </cell>
          <cell r="N655" t="str">
            <v>HARGA SATUAN PEKERJAAN  ( D + E )</v>
          </cell>
          <cell r="U655">
            <v>756752.69272970757</v>
          </cell>
        </row>
        <row r="656">
          <cell r="C656" t="str">
            <v>Kecepatanrata-rata bermuatan</v>
          </cell>
          <cell r="G656" t="str">
            <v>v1</v>
          </cell>
          <cell r="H656">
            <v>40</v>
          </cell>
          <cell r="L656" t="str">
            <v>Note: 1</v>
          </cell>
          <cell r="N656" t="str">
            <v>SATUAN dapat berdasarkan atas jam operasi untuk Tenaga Kerja dan Peralatan, volume dan/atau ukuran</v>
          </cell>
        </row>
        <row r="657">
          <cell r="C657" t="str">
            <v>Kecepatan rata-rata kosong</v>
          </cell>
          <cell r="G657" t="str">
            <v>v2</v>
          </cell>
          <cell r="H657">
            <v>50</v>
          </cell>
          <cell r="N657" t="str">
            <v>berat untuk bahan-bahan.</v>
          </cell>
        </row>
        <row r="658">
          <cell r="C658" t="str">
            <v>Waktu siklus    :</v>
          </cell>
          <cell r="G658" t="str">
            <v>Ts</v>
          </cell>
          <cell r="L658">
            <v>2</v>
          </cell>
          <cell r="N658" t="str">
            <v>Kuantitas satuan adalah kuantitas setiap komponen untuk menyelesaikan satu satuan pekerjaan dari nomor</v>
          </cell>
        </row>
        <row r="659">
          <cell r="C659" t="str">
            <v>- Waktu  tempuh in  si    = (L : v1 ) x 60</v>
          </cell>
          <cell r="G659" t="str">
            <v>T1</v>
          </cell>
          <cell r="H659">
            <v>13.087499999999999</v>
          </cell>
          <cell r="I659" t="str">
            <v>menit</v>
          </cell>
          <cell r="N659" t="str">
            <v>mata pembayaran.</v>
          </cell>
        </row>
        <row r="660">
          <cell r="C660" t="str">
            <v>-  Waktutempuh kosong  = (L : v2)  x  60</v>
          </cell>
          <cell r="G660" t="str">
            <v>T2</v>
          </cell>
          <cell r="H660">
            <v>10.469999999999999</v>
          </cell>
          <cell r="I660" t="str">
            <v>menit</v>
          </cell>
          <cell r="L660">
            <v>3</v>
          </cell>
          <cell r="N660" t="str">
            <v>Biaya satuan untuk peralatan sudah termasuk bahan bakar, bahan habis dipakai dan operator.</v>
          </cell>
        </row>
        <row r="661">
          <cell r="C661" t="str">
            <v>- Muat, bongkar dan lain-lain</v>
          </cell>
          <cell r="G661" t="str">
            <v>T3</v>
          </cell>
          <cell r="H661">
            <v>50</v>
          </cell>
          <cell r="I661" t="str">
            <v>menit</v>
          </cell>
          <cell r="L661">
            <v>4</v>
          </cell>
          <cell r="N661" t="str">
            <v>Biaya satuan sudah termasuk pengeluaran untuk seluruh pajak yang berkaitan (tetapi tidak termasuk PPN</v>
          </cell>
        </row>
        <row r="662">
          <cell r="G662" t="str">
            <v>Ts</v>
          </cell>
          <cell r="H662">
            <v>73.557500000000005</v>
          </cell>
          <cell r="I662" t="str">
            <v>menit</v>
          </cell>
          <cell r="N662" t="str">
            <v>yang dibayar dari kontrak) dan biaya-biaya lainnya.</v>
          </cell>
        </row>
        <row r="663">
          <cell r="J663" t="str">
            <v>Berlanjut ke halaman berikut</v>
          </cell>
        </row>
        <row r="664">
          <cell r="A664" t="str">
            <v>ITEM PEMBAYARAN NO.</v>
          </cell>
          <cell r="D664" t="str">
            <v>:  2.3 (4)</v>
          </cell>
          <cell r="J664" t="str">
            <v>Analisa EI-234</v>
          </cell>
        </row>
        <row r="665">
          <cell r="A665" t="str">
            <v>JENIS PEKERJAAN</v>
          </cell>
          <cell r="D665" t="str">
            <v>:  Gorong2 Pipa Beton Bertulang, 1 m &lt; diameter dalam &lt; 1.3 m</v>
          </cell>
        </row>
        <row r="666">
          <cell r="A666" t="str">
            <v>SATUAN PEMBAYARAN</v>
          </cell>
          <cell r="D666" t="str">
            <v>:  M1</v>
          </cell>
          <cell r="J666" t="str">
            <v xml:space="preserve">         URAIAN ANALISA HARGA SATUAN</v>
          </cell>
        </row>
        <row r="667">
          <cell r="J667" t="str">
            <v>Lanjutan</v>
          </cell>
        </row>
        <row r="669">
          <cell r="A669" t="str">
            <v>No.</v>
          </cell>
          <cell r="C669" t="str">
            <v>U R A I A N</v>
          </cell>
          <cell r="G669" t="str">
            <v>KODE</v>
          </cell>
          <cell r="H669" t="str">
            <v>KOEF.</v>
          </cell>
          <cell r="I669" t="str">
            <v>SATUAN</v>
          </cell>
          <cell r="J669" t="str">
            <v>KETERANGAN</v>
          </cell>
        </row>
        <row r="672">
          <cell r="C672" t="str">
            <v>Kapasitas Produksi / Jam   =</v>
          </cell>
          <cell r="E672" t="str">
            <v>V x Fa x 60</v>
          </cell>
          <cell r="G672" t="str">
            <v>Q2</v>
          </cell>
          <cell r="H672">
            <v>2.7080855113346698</v>
          </cell>
          <cell r="I672" t="str">
            <v xml:space="preserve">M' / Jam </v>
          </cell>
        </row>
        <row r="673">
          <cell r="E673" t="str">
            <v xml:space="preserve">    Ts</v>
          </cell>
        </row>
        <row r="675">
          <cell r="C675" t="str">
            <v>Koefisien Alat / m'</v>
          </cell>
          <cell r="D675" t="str">
            <v xml:space="preserve"> =  1  :  Q2</v>
          </cell>
          <cell r="G675" t="str">
            <v>(E08)</v>
          </cell>
          <cell r="H675">
            <v>0.36926455823293175</v>
          </cell>
          <cell r="I675" t="str">
            <v>jam</v>
          </cell>
        </row>
        <row r="678">
          <cell r="A678" t="str">
            <v>2.c.</v>
          </cell>
          <cell r="C678" t="str">
            <v>ALAT  BANTU</v>
          </cell>
        </row>
        <row r="679">
          <cell r="C679" t="str">
            <v>Diperlukan alat-alat bantu kecil</v>
          </cell>
          <cell r="J679" t="str">
            <v>Lump Sump</v>
          </cell>
        </row>
        <row r="680">
          <cell r="C680" t="str">
            <v>- Sekop    =         3   buah</v>
          </cell>
        </row>
        <row r="681">
          <cell r="C681" t="str">
            <v>- Pacul     =         3   buah</v>
          </cell>
        </row>
        <row r="682">
          <cell r="C682" t="str">
            <v>- Alat-alat kecil lain</v>
          </cell>
        </row>
        <row r="684">
          <cell r="A684" t="str">
            <v xml:space="preserve">   3.</v>
          </cell>
          <cell r="C684" t="str">
            <v>TENAGA</v>
          </cell>
        </row>
        <row r="685">
          <cell r="C685" t="str">
            <v>Produksi Gorong-gorong / hari</v>
          </cell>
          <cell r="G685" t="str">
            <v>Qt</v>
          </cell>
          <cell r="H685">
            <v>6</v>
          </cell>
          <cell r="I685" t="str">
            <v>M'</v>
          </cell>
        </row>
        <row r="686">
          <cell r="C686" t="str">
            <v>Kebutuhan tenaga :</v>
          </cell>
        </row>
        <row r="687">
          <cell r="D687" t="str">
            <v>- Pekerja</v>
          </cell>
          <cell r="G687" t="str">
            <v>P</v>
          </cell>
          <cell r="H687">
            <v>8</v>
          </cell>
          <cell r="I687" t="str">
            <v>orang</v>
          </cell>
        </row>
        <row r="688">
          <cell r="D688" t="str">
            <v>- Tukang</v>
          </cell>
          <cell r="G688" t="str">
            <v>T</v>
          </cell>
          <cell r="H688">
            <v>1</v>
          </cell>
          <cell r="I688" t="str">
            <v>orang</v>
          </cell>
        </row>
        <row r="689">
          <cell r="D689" t="str">
            <v>- Mandor</v>
          </cell>
          <cell r="G689" t="str">
            <v>M</v>
          </cell>
          <cell r="H689">
            <v>1</v>
          </cell>
          <cell r="I689" t="str">
            <v>orang</v>
          </cell>
        </row>
        <row r="691">
          <cell r="C691" t="str">
            <v>Koefisien tenaga / M'   :</v>
          </cell>
        </row>
        <row r="692">
          <cell r="D692" t="str">
            <v>- Pekerja</v>
          </cell>
          <cell r="E692" t="str">
            <v>= (Tk x P) : Qt</v>
          </cell>
          <cell r="G692" t="str">
            <v>(L01)</v>
          </cell>
          <cell r="H692">
            <v>9.3333333333333339</v>
          </cell>
          <cell r="I692" t="str">
            <v>jam</v>
          </cell>
        </row>
        <row r="693">
          <cell r="D693" t="str">
            <v>- Tukang</v>
          </cell>
          <cell r="E693" t="str">
            <v>= (Tk x T) : Qt</v>
          </cell>
          <cell r="G693" t="str">
            <v>(L02)</v>
          </cell>
          <cell r="H693">
            <v>1.1666666666666667</v>
          </cell>
          <cell r="I693" t="str">
            <v>jam</v>
          </cell>
        </row>
        <row r="694">
          <cell r="D694" t="str">
            <v>- Mandor</v>
          </cell>
          <cell r="E694" t="str">
            <v>= (Tk x M) : Qt</v>
          </cell>
          <cell r="G694" t="str">
            <v>(L03)</v>
          </cell>
          <cell r="H694">
            <v>1.1666666666666667</v>
          </cell>
          <cell r="I694" t="str">
            <v>jam</v>
          </cell>
        </row>
        <row r="696">
          <cell r="A696" t="str">
            <v>4.</v>
          </cell>
          <cell r="C696" t="str">
            <v>HARGA DASAR SATUAN UPAH, BAHAN DAN ALAT</v>
          </cell>
        </row>
        <row r="697">
          <cell r="C697" t="str">
            <v>Lihat lampiran.</v>
          </cell>
        </row>
        <row r="700">
          <cell r="A700" t="str">
            <v>5.</v>
          </cell>
          <cell r="C700" t="str">
            <v>ANALISA HARGA SATUAN PEKERJAAN</v>
          </cell>
        </row>
        <row r="701">
          <cell r="C701" t="str">
            <v>Lihat perhitungan dalam FORMULIR STANDAR UNTUK</v>
          </cell>
        </row>
        <row r="702">
          <cell r="C702" t="str">
            <v>PEREKEMAN ANALISA MASING-MASING HARGA</v>
          </cell>
        </row>
        <row r="703">
          <cell r="C703" t="str">
            <v>SATUAN.</v>
          </cell>
        </row>
        <row r="704">
          <cell r="C704" t="str">
            <v>Didapat Harga Satuan Pekerjaan :</v>
          </cell>
        </row>
        <row r="706">
          <cell r="C706" t="str">
            <v xml:space="preserve">Rp.  </v>
          </cell>
          <cell r="D706">
            <v>756752.69272970757</v>
          </cell>
          <cell r="E706" t="str">
            <v xml:space="preserve"> / M'</v>
          </cell>
        </row>
        <row r="709">
          <cell r="A709" t="str">
            <v>6.</v>
          </cell>
          <cell r="C709" t="str">
            <v>WAKTU PELAKSANAAN YANG DIPERLUKAN</v>
          </cell>
        </row>
        <row r="710">
          <cell r="C710" t="str">
            <v>Masa Pelaksanaan :</v>
          </cell>
          <cell r="D710" t="str">
            <v>. . . . . . . . . . . .</v>
          </cell>
          <cell r="E710" t="str">
            <v>bulan</v>
          </cell>
        </row>
        <row r="712">
          <cell r="A712" t="str">
            <v>7.</v>
          </cell>
          <cell r="C712" t="str">
            <v>VOLUME PEKERJAAN YANG DIPERLUKAN</v>
          </cell>
        </row>
        <row r="713">
          <cell r="C713" t="str">
            <v>Volume pekerjaan  :</v>
          </cell>
          <cell r="D713">
            <v>1</v>
          </cell>
          <cell r="E713" t="str">
            <v>M'</v>
          </cell>
        </row>
        <row r="723">
          <cell r="A723" t="str">
            <v>ITEM PEMBAYARAN NO.</v>
          </cell>
          <cell r="D723" t="str">
            <v>:  2.3 (5)</v>
          </cell>
          <cell r="J723" t="str">
            <v>Analisa EI-236</v>
          </cell>
        </row>
        <row r="724">
          <cell r="A724" t="str">
            <v>JENIS PEKERJAAN</v>
          </cell>
          <cell r="D724" t="str">
            <v>: Gorong-Gorong Pipa Beton Bertulang, 1,3  m &lt; diameter dalam &lt; 1,5 m</v>
          </cell>
        </row>
        <row r="725">
          <cell r="A725" t="str">
            <v>SATUAN PEMBAYARAN</v>
          </cell>
          <cell r="D725" t="str">
            <v>: M1</v>
          </cell>
          <cell r="J725" t="str">
            <v xml:space="preserve">         URAIAN ANALISA HARGA SATUAN</v>
          </cell>
        </row>
        <row r="727">
          <cell r="A727" t="str">
            <v>ITEM PEMBAYARAN NO.</v>
          </cell>
          <cell r="D727" t="str">
            <v>:  2.3 (6)</v>
          </cell>
          <cell r="J727" t="str">
            <v>Analisa EI-236</v>
          </cell>
        </row>
        <row r="728">
          <cell r="A728" t="str">
            <v>JENIS PEKERJAAN</v>
          </cell>
          <cell r="D728" t="str">
            <v>: Gorong-Gorong Pipa Beton Bertulang, 1,5  m &lt; diameter dalam &lt;  2,3 m</v>
          </cell>
        </row>
        <row r="729">
          <cell r="A729" t="str">
            <v>SATUAN PEMBAYARAN</v>
          </cell>
          <cell r="D729" t="str">
            <v>: M1</v>
          </cell>
          <cell r="J729" t="str">
            <v xml:space="preserve">         URAIAN ANALISA HARGA SATUAN</v>
          </cell>
        </row>
        <row r="734">
          <cell r="A734" t="str">
            <v>ITEM PEMBAYARAN NO.</v>
          </cell>
          <cell r="D734" t="str">
            <v>:  2.3 (7)</v>
          </cell>
          <cell r="J734" t="str">
            <v>Analisa EI-236</v>
          </cell>
        </row>
        <row r="735">
          <cell r="A735" t="str">
            <v>JENIS PEKERJAAN</v>
          </cell>
          <cell r="D735" t="str">
            <v>:  Gorong2 Baja Bergelombang dengan dimensi … (mengacu pada SNI 03-6719-2002)</v>
          </cell>
        </row>
        <row r="736">
          <cell r="A736" t="str">
            <v>SATUAN PEMBAYARAN</v>
          </cell>
          <cell r="D736" t="str">
            <v>:  Ton</v>
          </cell>
          <cell r="J736" t="str">
            <v xml:space="preserve">         URAIAN ANALISA HARGA SATUAN</v>
          </cell>
        </row>
        <row r="739">
          <cell r="A739" t="str">
            <v>No.</v>
          </cell>
          <cell r="C739" t="str">
            <v>U R A I A N</v>
          </cell>
          <cell r="G739" t="str">
            <v>KODE</v>
          </cell>
          <cell r="H739" t="str">
            <v>KOEF.</v>
          </cell>
          <cell r="I739" t="str">
            <v>SATUAN</v>
          </cell>
          <cell r="J739" t="str">
            <v>KETERANGAN</v>
          </cell>
        </row>
        <row r="742">
          <cell r="A742" t="str">
            <v>I.</v>
          </cell>
          <cell r="C742" t="str">
            <v>ASUMSI</v>
          </cell>
        </row>
        <row r="743">
          <cell r="A743">
            <v>1</v>
          </cell>
          <cell r="C743" t="str">
            <v>Pekerjaan dilakukan secara mekanik/manual</v>
          </cell>
        </row>
        <row r="744">
          <cell r="A744">
            <v>2</v>
          </cell>
          <cell r="C744" t="str">
            <v>Lokasi pekerjaan : sepanjang jalan</v>
          </cell>
        </row>
        <row r="745">
          <cell r="A745">
            <v>3</v>
          </cell>
          <cell r="C745" t="str">
            <v>Diameter gorong-gorong baja</v>
          </cell>
          <cell r="G745" t="str">
            <v>d</v>
          </cell>
          <cell r="H745">
            <v>1</v>
          </cell>
          <cell r="I745" t="str">
            <v>m</v>
          </cell>
        </row>
        <row r="746">
          <cell r="A746">
            <v>4</v>
          </cell>
          <cell r="C746" t="str">
            <v>Jarak rata-rata Base Camp ke lokasi pekerjaan</v>
          </cell>
          <cell r="G746" t="str">
            <v>L</v>
          </cell>
          <cell r="H746">
            <v>8.7249999999999996</v>
          </cell>
          <cell r="I746" t="str">
            <v>Km</v>
          </cell>
        </row>
        <row r="747">
          <cell r="A747">
            <v>5</v>
          </cell>
          <cell r="C747" t="str">
            <v>Jam kerja efektif per-hari</v>
          </cell>
          <cell r="G747" t="str">
            <v>Tk</v>
          </cell>
          <cell r="H747">
            <v>7</v>
          </cell>
          <cell r="I747" t="str">
            <v>Jam</v>
          </cell>
        </row>
        <row r="748">
          <cell r="A748">
            <v>6</v>
          </cell>
          <cell r="C748" t="str">
            <v>Tebal gorong-gorong</v>
          </cell>
          <cell r="G748" t="str">
            <v>tg</v>
          </cell>
          <cell r="H748">
            <v>0.25</v>
          </cell>
          <cell r="I748" t="str">
            <v>Cm</v>
          </cell>
        </row>
        <row r="749">
          <cell r="A749">
            <v>7</v>
          </cell>
          <cell r="C749" t="str">
            <v>BJ Pipa Baja Bergelombang</v>
          </cell>
          <cell r="G749" t="str">
            <v>BJp</v>
          </cell>
          <cell r="H749">
            <v>7.9</v>
          </cell>
          <cell r="I749" t="str">
            <v>T/m3</v>
          </cell>
        </row>
        <row r="750">
          <cell r="G750" t="str">
            <v>BJp1</v>
          </cell>
          <cell r="H750">
            <v>0.12445321428571117</v>
          </cell>
          <cell r="I750" t="str">
            <v>T/m'</v>
          </cell>
        </row>
        <row r="751">
          <cell r="A751" t="str">
            <v>II.</v>
          </cell>
          <cell r="C751" t="str">
            <v>URUTAN KERJA</v>
          </cell>
        </row>
        <row r="753">
          <cell r="A753">
            <v>1</v>
          </cell>
          <cell r="C753" t="str">
            <v>Gorong-gorong baja diterima dari pemasok</v>
          </cell>
        </row>
        <row r="754">
          <cell r="C754" t="str">
            <v>di lokasi pekerjaan</v>
          </cell>
        </row>
        <row r="755">
          <cell r="A755">
            <v>3</v>
          </cell>
          <cell r="C755" t="str">
            <v>Dasar gorong-gorong digali sesuai kebutuhan dan ma-</v>
          </cell>
        </row>
        <row r="756">
          <cell r="C756" t="str">
            <v>terial backfill dipadatkan dengan Tamper</v>
          </cell>
        </row>
        <row r="757">
          <cell r="A757">
            <v>4</v>
          </cell>
          <cell r="C757" t="str">
            <v>Tebal lapis porus pada dasar gorong-gorong baja</v>
          </cell>
          <cell r="G757" t="str">
            <v>tp</v>
          </cell>
          <cell r="H757">
            <v>0.15</v>
          </cell>
          <cell r="I757" t="str">
            <v>M</v>
          </cell>
        </row>
        <row r="758">
          <cell r="A758">
            <v>5</v>
          </cell>
          <cell r="C758" t="str">
            <v>Material pilihan untuk penimbunan kembali (padat)</v>
          </cell>
        </row>
        <row r="759">
          <cell r="A759">
            <v>6</v>
          </cell>
          <cell r="C759" t="str">
            <v>Sekelompok pekerja akan melaksanakan pekerjaan</v>
          </cell>
        </row>
        <row r="760">
          <cell r="C760" t="str">
            <v>dengan cara manual dengan menggunakan alat bantu</v>
          </cell>
        </row>
        <row r="762">
          <cell r="A762" t="str">
            <v>III.</v>
          </cell>
          <cell r="C762" t="str">
            <v>PEMAKAIAN BAHAN, ALAT DAN TENAGA</v>
          </cell>
        </row>
        <row r="763">
          <cell r="A763" t="str">
            <v xml:space="preserve">   1.</v>
          </cell>
          <cell r="C763" t="str">
            <v>BAHAN</v>
          </cell>
        </row>
        <row r="764">
          <cell r="C764" t="str">
            <v>Untuk mendapatkan 1 M' gorong-gorong diperlukan</v>
          </cell>
        </row>
        <row r="765">
          <cell r="C765" t="str">
            <v>- Baja Bergelombang</v>
          </cell>
          <cell r="G765" t="str">
            <v>(M46)</v>
          </cell>
          <cell r="H765">
            <v>1050</v>
          </cell>
          <cell r="I765" t="str">
            <v>Kg</v>
          </cell>
        </row>
        <row r="766">
          <cell r="C766" t="str">
            <v>- Urugan Porus = {(tp*(0.5+2*tg/100+d+0.5)*1)*1.05} x (1/BJp1)</v>
          </cell>
          <cell r="G766" t="str">
            <v>(EI-241)</v>
          </cell>
          <cell r="H766">
            <v>2.5373993095512715</v>
          </cell>
          <cell r="I766" t="str">
            <v>M3</v>
          </cell>
        </row>
        <row r="767">
          <cell r="C767" t="str">
            <v>- Mat. Pilihan = {((2*tg/100+d+0.5)*(0.5+2*tg/100+d+0.5)</v>
          </cell>
          <cell r="G767" t="str">
            <v>(M09)</v>
          </cell>
          <cell r="H767">
            <v>18.763120248860478</v>
          </cell>
          <cell r="I767" t="str">
            <v>M3</v>
          </cell>
          <cell r="J767" t="str">
            <v xml:space="preserve"> = Vp</v>
          </cell>
        </row>
        <row r="768">
          <cell r="C768" t="str">
            <v xml:space="preserve">                      -(22/7*(0.5*(2*tg/100+d))^2)*1)*1.05} x (1/BJp1)</v>
          </cell>
        </row>
        <row r="770">
          <cell r="A770" t="str">
            <v xml:space="preserve">   2.</v>
          </cell>
          <cell r="C770" t="str">
            <v>ALAT</v>
          </cell>
        </row>
        <row r="771">
          <cell r="A771" t="str">
            <v>2.a.</v>
          </cell>
          <cell r="C771" t="str">
            <v>TAMPER</v>
          </cell>
          <cell r="G771" t="str">
            <v>(E25)</v>
          </cell>
        </row>
        <row r="772">
          <cell r="C772" t="str">
            <v>Kecepatan</v>
          </cell>
          <cell r="G772" t="str">
            <v>v</v>
          </cell>
          <cell r="H772">
            <v>0.5</v>
          </cell>
          <cell r="I772" t="str">
            <v>Km / Jam</v>
          </cell>
        </row>
        <row r="773">
          <cell r="C773" t="str">
            <v>Efisiensi alat</v>
          </cell>
          <cell r="G773" t="str">
            <v>Fa</v>
          </cell>
          <cell r="H773">
            <v>0.83</v>
          </cell>
          <cell r="I773" t="str">
            <v>-</v>
          </cell>
        </row>
        <row r="774">
          <cell r="C774" t="str">
            <v>Lebar pemadatan</v>
          </cell>
          <cell r="G774" t="str">
            <v>Lb</v>
          </cell>
          <cell r="H774">
            <v>0.4</v>
          </cell>
          <cell r="I774" t="str">
            <v>M</v>
          </cell>
        </row>
        <row r="775">
          <cell r="C775" t="str">
            <v>Banyak lintasan</v>
          </cell>
          <cell r="G775" t="str">
            <v>n</v>
          </cell>
          <cell r="H775">
            <v>10</v>
          </cell>
          <cell r="I775" t="str">
            <v>lintasan</v>
          </cell>
        </row>
        <row r="776">
          <cell r="C776" t="str">
            <v>Tebal lapis hamparan</v>
          </cell>
          <cell r="G776" t="str">
            <v>tp</v>
          </cell>
          <cell r="H776">
            <v>0.2</v>
          </cell>
          <cell r="I776" t="str">
            <v>M</v>
          </cell>
        </row>
        <row r="779">
          <cell r="C779" t="str">
            <v>Kap. Prod. / Jam   =</v>
          </cell>
          <cell r="D779" t="str">
            <v>v x 1000 x Fa x Lb x 60</v>
          </cell>
          <cell r="G779" t="str">
            <v>Q1</v>
          </cell>
          <cell r="H779">
            <v>3.3200000000000003</v>
          </cell>
          <cell r="I779" t="str">
            <v xml:space="preserve">M3 / Jam </v>
          </cell>
        </row>
        <row r="780">
          <cell r="D780" t="str">
            <v xml:space="preserve">    n x tp</v>
          </cell>
        </row>
        <row r="782">
          <cell r="C782" t="str">
            <v>Koefisien Alat / T</v>
          </cell>
          <cell r="D782" t="str">
            <v xml:space="preserve"> =  1  :  Q1 x Vp</v>
          </cell>
          <cell r="G782" t="str">
            <v>(E25)</v>
          </cell>
          <cell r="H782">
            <v>0.76427690046725039</v>
          </cell>
          <cell r="I782" t="str">
            <v>jam</v>
          </cell>
        </row>
        <row r="785">
          <cell r="A785" t="str">
            <v>2.c.</v>
          </cell>
          <cell r="C785" t="str">
            <v>ALAT  BANTU</v>
          </cell>
        </row>
        <row r="786">
          <cell r="C786" t="str">
            <v>Diperlukan alat-alat bantu kecil</v>
          </cell>
          <cell r="J786" t="str">
            <v>Lump Sump</v>
          </cell>
        </row>
        <row r="787">
          <cell r="C787" t="str">
            <v>- Sekop    =         3   buah</v>
          </cell>
        </row>
        <row r="788">
          <cell r="C788" t="str">
            <v>- Pacul     =         3   buah</v>
          </cell>
        </row>
        <row r="789">
          <cell r="C789" t="str">
            <v>- Alat-alat kecil lain</v>
          </cell>
        </row>
        <row r="794">
          <cell r="J794" t="str">
            <v>Berlanjut ke halaman berikut</v>
          </cell>
        </row>
        <row r="795">
          <cell r="A795" t="str">
            <v>ITEM PEMBAYARAN NO.</v>
          </cell>
          <cell r="D795" t="str">
            <v>:  2.3 (7)</v>
          </cell>
          <cell r="J795" t="str">
            <v>Analisa EI-236</v>
          </cell>
        </row>
        <row r="796">
          <cell r="A796" t="str">
            <v>JENIS PEKERJAAN</v>
          </cell>
          <cell r="D796" t="str">
            <v>:  Gorong2 Baja Bergelombang dengan dimensi … (mengacu pada SNI 03-6719-2002)</v>
          </cell>
        </row>
        <row r="797">
          <cell r="A797" t="str">
            <v>SATUAN PEMBAYARAN</v>
          </cell>
          <cell r="D797" t="str">
            <v>:  Ton</v>
          </cell>
          <cell r="J797" t="str">
            <v xml:space="preserve">         URAIAN ANALISA HARGA SATUAN</v>
          </cell>
        </row>
        <row r="798">
          <cell r="J798" t="str">
            <v>Lanjutan</v>
          </cell>
        </row>
        <row r="800">
          <cell r="A800" t="str">
            <v>No.</v>
          </cell>
          <cell r="C800" t="str">
            <v>U R A I A N</v>
          </cell>
          <cell r="G800" t="str">
            <v>KODE</v>
          </cell>
          <cell r="H800" t="str">
            <v>KOEF.</v>
          </cell>
          <cell r="I800" t="str">
            <v>SATUAN</v>
          </cell>
          <cell r="J800" t="str">
            <v>KETERANGAN</v>
          </cell>
        </row>
        <row r="803">
          <cell r="A803" t="str">
            <v xml:space="preserve">   3.</v>
          </cell>
          <cell r="C803" t="str">
            <v>TENAGA</v>
          </cell>
        </row>
        <row r="804">
          <cell r="C804" t="str">
            <v xml:space="preserve">Produksi Gorong-gorong / hari </v>
          </cell>
          <cell r="G804" t="str">
            <v>Qt</v>
          </cell>
          <cell r="H804">
            <v>1.3</v>
          </cell>
          <cell r="I804" t="str">
            <v>Ton</v>
          </cell>
          <cell r="J804">
            <v>10</v>
          </cell>
        </row>
        <row r="805">
          <cell r="J805" t="str">
            <v>M' per hari</v>
          </cell>
        </row>
        <row r="806">
          <cell r="C806" t="str">
            <v>Kebutuhan tenaga :</v>
          </cell>
        </row>
        <row r="807">
          <cell r="D807" t="str">
            <v>- Pekerja</v>
          </cell>
          <cell r="G807" t="str">
            <v>P</v>
          </cell>
          <cell r="H807">
            <v>12</v>
          </cell>
          <cell r="I807" t="str">
            <v>orang</v>
          </cell>
        </row>
        <row r="808">
          <cell r="D808" t="str">
            <v>- Tukang</v>
          </cell>
          <cell r="G808" t="str">
            <v>T</v>
          </cell>
          <cell r="H808">
            <v>1</v>
          </cell>
          <cell r="I808" t="str">
            <v>orang</v>
          </cell>
        </row>
        <row r="809">
          <cell r="D809" t="str">
            <v>- Mandor</v>
          </cell>
          <cell r="G809" t="str">
            <v>M</v>
          </cell>
          <cell r="H809">
            <v>1</v>
          </cell>
          <cell r="I809" t="str">
            <v>orang</v>
          </cell>
        </row>
        <row r="811">
          <cell r="C811" t="str">
            <v>Koefisien tenaga / Ton   :</v>
          </cell>
        </row>
        <row r="812">
          <cell r="D812" t="str">
            <v>- Pekerja</v>
          </cell>
          <cell r="E812" t="str">
            <v>= (Tk x P) : Qt</v>
          </cell>
          <cell r="G812" t="str">
            <v>(L01)</v>
          </cell>
          <cell r="H812">
            <v>64.615384615384613</v>
          </cell>
          <cell r="I812" t="str">
            <v>jam</v>
          </cell>
        </row>
        <row r="813">
          <cell r="D813" t="str">
            <v>- Tukang</v>
          </cell>
          <cell r="E813" t="str">
            <v>= (Tk x T) : Qt</v>
          </cell>
          <cell r="G813" t="str">
            <v>(L02)</v>
          </cell>
          <cell r="H813">
            <v>5.3846153846153841</v>
          </cell>
          <cell r="I813" t="str">
            <v>jam</v>
          </cell>
        </row>
        <row r="814">
          <cell r="D814" t="str">
            <v>- Mandor</v>
          </cell>
          <cell r="E814" t="str">
            <v>= (Tk x M) : Qt</v>
          </cell>
          <cell r="G814" t="str">
            <v>(L03)</v>
          </cell>
          <cell r="H814">
            <v>5.3846153846153841</v>
          </cell>
          <cell r="I814" t="str">
            <v>jam</v>
          </cell>
        </row>
        <row r="816">
          <cell r="A816" t="str">
            <v>4.</v>
          </cell>
          <cell r="C816" t="str">
            <v>HARGA DASAR SATUAN UPAH, BAHAN DAN ALAT</v>
          </cell>
        </row>
        <row r="817">
          <cell r="C817" t="str">
            <v>Lihat lampiran.</v>
          </cell>
        </row>
        <row r="819">
          <cell r="A819" t="str">
            <v>5.</v>
          </cell>
          <cell r="C819" t="str">
            <v>ANALISA HARGA SATUAN PEKERJAAN</v>
          </cell>
        </row>
        <row r="820">
          <cell r="C820" t="str">
            <v>Lihat perhitungan dalam FORMULIR STANDAR UNTUK</v>
          </cell>
        </row>
        <row r="821">
          <cell r="C821" t="str">
            <v>PEREKEMAN ANALISA MASING-MASING HARGA</v>
          </cell>
        </row>
        <row r="822">
          <cell r="C822" t="str">
            <v>SATUAN.</v>
          </cell>
        </row>
        <row r="823">
          <cell r="C823" t="str">
            <v>Didapat Harga Satuan Pekerjaan :</v>
          </cell>
        </row>
        <row r="825">
          <cell r="C825" t="str">
            <v xml:space="preserve">Rp.  </v>
          </cell>
          <cell r="D825">
            <v>9967201.2306805458</v>
          </cell>
          <cell r="E825" t="str">
            <v xml:space="preserve"> / M'</v>
          </cell>
        </row>
        <row r="828">
          <cell r="A828" t="str">
            <v>6.</v>
          </cell>
          <cell r="C828" t="str">
            <v>WAKTU PELAKSANAAN YANG DIPERLUKAN</v>
          </cell>
        </row>
        <row r="829">
          <cell r="C829" t="str">
            <v>Masa Pelaksanaan :</v>
          </cell>
          <cell r="D829" t="str">
            <v>. . . . . . . . . . . .</v>
          </cell>
          <cell r="E829" t="str">
            <v>bulan</v>
          </cell>
        </row>
        <row r="831">
          <cell r="A831" t="str">
            <v>7.</v>
          </cell>
          <cell r="C831" t="str">
            <v>VOLUME PEKERJAAN YANG DIPERLUKAN</v>
          </cell>
        </row>
        <row r="832">
          <cell r="C832" t="str">
            <v>Volume pekerjaan  :</v>
          </cell>
          <cell r="D832">
            <v>1</v>
          </cell>
          <cell r="E832" t="str">
            <v>M'</v>
          </cell>
        </row>
        <row r="854">
          <cell r="A854" t="str">
            <v>ITEM PEMBAYARAN NO.</v>
          </cell>
          <cell r="D854" t="str">
            <v>:  2.3 (8)</v>
          </cell>
          <cell r="J854" t="str">
            <v xml:space="preserve">Analisa EI-235 </v>
          </cell>
        </row>
        <row r="855">
          <cell r="A855" t="str">
            <v>JENIS PEKERJAAN</v>
          </cell>
          <cell r="D855" t="str">
            <v>: Gorong-Gorong Pipa beton tanpa tulangan diameter dalam 100 mm sampai 900 mm</v>
          </cell>
          <cell r="L855" t="str">
            <v>FORMULIR STANDAR UNTUK</v>
          </cell>
        </row>
        <row r="856">
          <cell r="A856" t="str">
            <v>SATUAN PEMBAYARAN</v>
          </cell>
          <cell r="D856" t="str">
            <v>:  M1</v>
          </cell>
          <cell r="J856" t="str">
            <v xml:space="preserve">         URAIAN ANALISA HARGA SATUAN</v>
          </cell>
          <cell r="L856" t="str">
            <v>PEREKAMAN ANALISA MASING-MASING HARGA SATUAN</v>
          </cell>
        </row>
        <row r="857">
          <cell r="L857" t="str">
            <v xml:space="preserve">                                                                                                            </v>
          </cell>
        </row>
        <row r="859">
          <cell r="A859" t="str">
            <v>No.</v>
          </cell>
          <cell r="C859" t="str">
            <v>U R A I A N</v>
          </cell>
          <cell r="G859" t="str">
            <v>KODE</v>
          </cell>
          <cell r="H859" t="str">
            <v>KOEF.</v>
          </cell>
          <cell r="I859" t="str">
            <v>SATUAN</v>
          </cell>
          <cell r="J859" t="str">
            <v>KETERANGAN</v>
          </cell>
        </row>
        <row r="860">
          <cell r="L860" t="str">
            <v>PROYEK</v>
          </cell>
          <cell r="O860" t="str">
            <v>:</v>
          </cell>
        </row>
        <row r="861">
          <cell r="L861" t="str">
            <v>No. PAKET KONTRAK</v>
          </cell>
          <cell r="O861" t="str">
            <v>:</v>
          </cell>
        </row>
        <row r="862">
          <cell r="A862" t="str">
            <v>I.</v>
          </cell>
          <cell r="C862" t="str">
            <v>ASUMSI</v>
          </cell>
          <cell r="L862" t="str">
            <v>NAMA PAKET</v>
          </cell>
          <cell r="O862" t="str">
            <v>:</v>
          </cell>
        </row>
        <row r="863">
          <cell r="A863">
            <v>1</v>
          </cell>
          <cell r="C863" t="str">
            <v>Pekerjaan dilakukan secara mekanik/manual</v>
          </cell>
          <cell r="L863" t="str">
            <v>PROP / KAB / KODYA</v>
          </cell>
          <cell r="O863" t="str">
            <v>:</v>
          </cell>
        </row>
        <row r="864">
          <cell r="A864">
            <v>2</v>
          </cell>
          <cell r="C864" t="str">
            <v>Lokasi pekerjaan : sepanjang jalan</v>
          </cell>
          <cell r="L864" t="str">
            <v>ITEM PEMBAYARAN NO.</v>
          </cell>
          <cell r="O864" t="str">
            <v>:  2.3 (8)</v>
          </cell>
          <cell r="R864" t="str">
            <v>PERKIRAAN VOL. PEK.</v>
          </cell>
          <cell r="T864" t="str">
            <v>:</v>
          </cell>
          <cell r="U864">
            <v>1</v>
          </cell>
        </row>
        <row r="865">
          <cell r="A865">
            <v>3</v>
          </cell>
          <cell r="C865" t="str">
            <v>Diameter bagian dalam gorong-gorong</v>
          </cell>
          <cell r="G865" t="str">
            <v>d</v>
          </cell>
          <cell r="H865">
            <v>0.25</v>
          </cell>
          <cell r="I865" t="str">
            <v>m</v>
          </cell>
          <cell r="L865" t="str">
            <v>JENIS PEKERJAAN</v>
          </cell>
          <cell r="O865" t="str">
            <v>: Gorong-Gorong Pipa beton tanpa tulangan diameter dalam 100 mm sampai 900 mm</v>
          </cell>
          <cell r="R865" t="str">
            <v>TOTAL HARGA (Rp.)</v>
          </cell>
          <cell r="T865" t="str">
            <v>:</v>
          </cell>
          <cell r="U865">
            <v>218715.29344341051</v>
          </cell>
        </row>
        <row r="866">
          <cell r="A866">
            <v>4</v>
          </cell>
          <cell r="C866" t="str">
            <v>Jarak rata-rata Base Camp ke lokasi pekerjaan</v>
          </cell>
          <cell r="G866" t="str">
            <v>L</v>
          </cell>
          <cell r="H866">
            <v>8.7249999999999996</v>
          </cell>
          <cell r="I866" t="str">
            <v>Km</v>
          </cell>
          <cell r="L866" t="str">
            <v>SATUAN PEMBAYARAN</v>
          </cell>
          <cell r="O866" t="str">
            <v>:  M1</v>
          </cell>
          <cell r="Q866">
            <v>0</v>
          </cell>
          <cell r="R866" t="str">
            <v>% THD. BIAYA PROYEK</v>
          </cell>
          <cell r="T866" t="str">
            <v>:</v>
          </cell>
          <cell r="U866" t="e">
            <v>#DIV/0!</v>
          </cell>
        </row>
        <row r="867">
          <cell r="A867">
            <v>5</v>
          </cell>
          <cell r="C867" t="str">
            <v>Jam kerja efektif per-hari</v>
          </cell>
          <cell r="G867" t="str">
            <v>Tk</v>
          </cell>
          <cell r="H867">
            <v>7</v>
          </cell>
          <cell r="I867" t="str">
            <v>jam</v>
          </cell>
        </row>
        <row r="868">
          <cell r="A868">
            <v>6</v>
          </cell>
          <cell r="C868" t="str">
            <v>Tebal gorong-gorong</v>
          </cell>
          <cell r="G868" t="str">
            <v>tg</v>
          </cell>
          <cell r="H868">
            <v>6.5</v>
          </cell>
          <cell r="I868" t="str">
            <v>Cm</v>
          </cell>
        </row>
        <row r="869">
          <cell r="Q869" t="str">
            <v>PERKIRAAN</v>
          </cell>
          <cell r="R869" t="str">
            <v>HARGA</v>
          </cell>
          <cell r="S869" t="str">
            <v>JUMLAH</v>
          </cell>
        </row>
        <row r="870">
          <cell r="A870" t="str">
            <v>II.</v>
          </cell>
          <cell r="C870" t="str">
            <v>URUTAN KERJA</v>
          </cell>
          <cell r="L870" t="str">
            <v>NO.</v>
          </cell>
          <cell r="N870" t="str">
            <v>KOMPONEN</v>
          </cell>
          <cell r="P870" t="str">
            <v>SATUAN</v>
          </cell>
          <cell r="Q870" t="str">
            <v>KUANTITAS</v>
          </cell>
          <cell r="R870" t="str">
            <v>SATUAN</v>
          </cell>
          <cell r="S870" t="str">
            <v>HARGA</v>
          </cell>
        </row>
        <row r="871">
          <cell r="A871">
            <v>1</v>
          </cell>
          <cell r="C871" t="str">
            <v>Gorong-gorong dicetak di Base Camp</v>
          </cell>
          <cell r="R871" t="str">
            <v>(Rp.)</v>
          </cell>
          <cell r="S871" t="str">
            <v>(Rp.)</v>
          </cell>
        </row>
        <row r="872">
          <cell r="A872">
            <v>2</v>
          </cell>
          <cell r="C872" t="str">
            <v>Dump Truck mengangkut gorong-gorong jadi</v>
          </cell>
        </row>
        <row r="873">
          <cell r="C873" t="str">
            <v>ke lapangan</v>
          </cell>
        </row>
        <row r="874">
          <cell r="A874">
            <v>3</v>
          </cell>
          <cell r="C874" t="str">
            <v>Dasar gorong-gorong digali sesuai kebutuhan dan ma-</v>
          </cell>
          <cell r="L874" t="str">
            <v>A.</v>
          </cell>
          <cell r="N874" t="str">
            <v>TENAGA</v>
          </cell>
        </row>
        <row r="875">
          <cell r="C875" t="str">
            <v>terial backfill dipadatkan dengan Tamper</v>
          </cell>
        </row>
        <row r="876">
          <cell r="A876">
            <v>4</v>
          </cell>
          <cell r="C876" t="str">
            <v>Tebal lapis porus pada dasar gorong-gorong pipa baja</v>
          </cell>
          <cell r="G876" t="str">
            <v>tp</v>
          </cell>
          <cell r="H876">
            <v>0.1</v>
          </cell>
          <cell r="I876" t="str">
            <v>M</v>
          </cell>
          <cell r="J876" t="str">
            <v xml:space="preserve"> Sand bedding</v>
          </cell>
          <cell r="L876" t="str">
            <v>1.</v>
          </cell>
          <cell r="N876" t="str">
            <v>Pekerja</v>
          </cell>
          <cell r="O876" t="str">
            <v>(L01)</v>
          </cell>
          <cell r="P876" t="str">
            <v>jam</v>
          </cell>
          <cell r="Q876">
            <v>1.75</v>
          </cell>
          <cell r="R876">
            <v>2857.14</v>
          </cell>
          <cell r="U876">
            <v>4999.9949999999999</v>
          </cell>
        </row>
        <row r="877">
          <cell r="A877">
            <v>5</v>
          </cell>
          <cell r="C877" t="str">
            <v>Material pilihan untuk penimbunan kembali (padat)</v>
          </cell>
          <cell r="L877" t="str">
            <v>2.</v>
          </cell>
          <cell r="N877" t="str">
            <v>Tukang</v>
          </cell>
          <cell r="O877" t="str">
            <v>(L02)</v>
          </cell>
          <cell r="P877" t="str">
            <v>jam</v>
          </cell>
          <cell r="Q877">
            <v>0</v>
          </cell>
          <cell r="R877">
            <v>4285.71</v>
          </cell>
          <cell r="U877">
            <v>0</v>
          </cell>
        </row>
        <row r="878">
          <cell r="A878">
            <v>6</v>
          </cell>
          <cell r="C878" t="str">
            <v>Sekelompok pekerja akan melaksanakan pekerjaan</v>
          </cell>
          <cell r="L878" t="str">
            <v>3.</v>
          </cell>
          <cell r="N878" t="str">
            <v>Mandor</v>
          </cell>
          <cell r="O878" t="str">
            <v>(L03)</v>
          </cell>
          <cell r="P878" t="str">
            <v>jam</v>
          </cell>
          <cell r="Q878">
            <v>0.35</v>
          </cell>
          <cell r="R878">
            <v>3214.29</v>
          </cell>
          <cell r="U878">
            <v>1125.0014999999999</v>
          </cell>
        </row>
        <row r="879">
          <cell r="C879" t="str">
            <v>dengan cara manual dengan menggunakan alat bantu</v>
          </cell>
        </row>
        <row r="880">
          <cell r="Q880" t="str">
            <v xml:space="preserve">JUMLAH HARGA TENAGA   </v>
          </cell>
          <cell r="U880">
            <v>6124.9964999999993</v>
          </cell>
        </row>
        <row r="882">
          <cell r="A882" t="str">
            <v>III.</v>
          </cell>
          <cell r="C882" t="str">
            <v>PEMAKAIAN BAHAN, ALAT DAN TENAGA</v>
          </cell>
          <cell r="L882" t="str">
            <v>B.</v>
          </cell>
          <cell r="N882" t="str">
            <v>BAHAN</v>
          </cell>
        </row>
        <row r="883">
          <cell r="A883" t="str">
            <v xml:space="preserve">   1.</v>
          </cell>
          <cell r="C883" t="str">
            <v>BAHAN</v>
          </cell>
        </row>
        <row r="884">
          <cell r="C884" t="str">
            <v>Untuk mendapatkan 1 M' gorong-gorong diperlukan</v>
          </cell>
          <cell r="L884" t="str">
            <v>1.</v>
          </cell>
          <cell r="N884" t="str">
            <v>Beton K-175</v>
          </cell>
          <cell r="O884" t="str">
            <v>(EI-716)</v>
          </cell>
          <cell r="P884" t="str">
            <v>M3</v>
          </cell>
          <cell r="Q884">
            <v>6.4324109582251016E-2</v>
          </cell>
          <cell r="R884">
            <v>579443.14540291647</v>
          </cell>
          <cell r="U884">
            <v>37272.16438158141</v>
          </cell>
        </row>
        <row r="885">
          <cell r="C885" t="str">
            <v>- Beton K-175 = (22/7*((2*tg/100+d)/2)^2)-(22/7*(d/2)^2))*1</v>
          </cell>
          <cell r="G885" t="str">
            <v>(EI-716)</v>
          </cell>
          <cell r="H885">
            <v>6.4324109582251016E-2</v>
          </cell>
          <cell r="I885" t="str">
            <v>M3</v>
          </cell>
          <cell r="L885" t="str">
            <v>2.</v>
          </cell>
          <cell r="N885" t="str">
            <v>Urugan Porus</v>
          </cell>
          <cell r="O885" t="str">
            <v>(EI-241)</v>
          </cell>
          <cell r="P885" t="str">
            <v>M3</v>
          </cell>
          <cell r="Q885">
            <v>7.1400000000000005E-2</v>
          </cell>
          <cell r="R885">
            <v>186901.40625406182</v>
          </cell>
          <cell r="U885">
            <v>13344.760406540016</v>
          </cell>
        </row>
        <row r="886">
          <cell r="C886" t="str">
            <v>- Timbunan Porus      = {(tp*(0.15+2*tg/100+d+0.15)*1)*1.05}</v>
          </cell>
          <cell r="G886" t="str">
            <v>(EI-241)</v>
          </cell>
          <cell r="H886">
            <v>7.1400000000000005E-2</v>
          </cell>
          <cell r="I886" t="str">
            <v>M3</v>
          </cell>
          <cell r="L886" t="str">
            <v>3.</v>
          </cell>
          <cell r="N886" t="str">
            <v>Mat. Pilihan</v>
          </cell>
          <cell r="O886" t="str">
            <v>(M09)</v>
          </cell>
          <cell r="P886" t="str">
            <v>M3</v>
          </cell>
          <cell r="Q886">
            <v>0.25929000000000008</v>
          </cell>
          <cell r="R886">
            <v>25000</v>
          </cell>
          <cell r="U886">
            <v>6482.2500000000018</v>
          </cell>
        </row>
        <row r="887">
          <cell r="C887" t="str">
            <v>- Material Pilihan  = ((2*tg/100+d+0.15)*(0.15+2*tg/100+d+0.15)</v>
          </cell>
          <cell r="G887" t="str">
            <v>(M09)</v>
          </cell>
          <cell r="H887">
            <v>0.25929000000000008</v>
          </cell>
          <cell r="I887" t="str">
            <v>M3</v>
          </cell>
          <cell r="J887" t="str">
            <v xml:space="preserve"> = Vp</v>
          </cell>
        </row>
        <row r="888">
          <cell r="D888" t="str">
            <v>-(22/7*(0.5*(2*tg/100+d))^2))*1*1.05</v>
          </cell>
        </row>
        <row r="890">
          <cell r="A890" t="str">
            <v xml:space="preserve">   2.</v>
          </cell>
          <cell r="C890" t="str">
            <v>ALAT</v>
          </cell>
          <cell r="Q890" t="str">
            <v xml:space="preserve">JUMLAH HARGA BAHAN   </v>
          </cell>
          <cell r="U890">
            <v>57099.174788121425</v>
          </cell>
        </row>
        <row r="891">
          <cell r="A891" t="str">
            <v>2.a.</v>
          </cell>
          <cell r="C891" t="str">
            <v>TAMPER</v>
          </cell>
          <cell r="G891" t="str">
            <v>(E25)</v>
          </cell>
        </row>
        <row r="892">
          <cell r="C892" t="str">
            <v>Kecepatan</v>
          </cell>
          <cell r="G892" t="str">
            <v>v</v>
          </cell>
          <cell r="H892">
            <v>0.5</v>
          </cell>
          <cell r="I892" t="str">
            <v>Km / Jam</v>
          </cell>
          <cell r="L892" t="str">
            <v>C.</v>
          </cell>
          <cell r="N892" t="str">
            <v>PERALATAN</v>
          </cell>
        </row>
        <row r="893">
          <cell r="C893" t="str">
            <v>Efisiensi alat</v>
          </cell>
          <cell r="G893" t="str">
            <v>Fa</v>
          </cell>
          <cell r="H893">
            <v>0.83</v>
          </cell>
          <cell r="I893" t="str">
            <v>-</v>
          </cell>
        </row>
        <row r="894">
          <cell r="C894" t="str">
            <v>Lebar pemadatan</v>
          </cell>
          <cell r="G894" t="str">
            <v>Lb</v>
          </cell>
          <cell r="H894">
            <v>0.4</v>
          </cell>
          <cell r="I894" t="str">
            <v>M</v>
          </cell>
          <cell r="L894" t="str">
            <v>1.</v>
          </cell>
          <cell r="N894" t="str">
            <v>Tamper</v>
          </cell>
          <cell r="O894" t="str">
            <v>(E25)</v>
          </cell>
          <cell r="P894" t="str">
            <v>jam</v>
          </cell>
          <cell r="Q894">
            <v>7.8099397590361455E-2</v>
          </cell>
          <cell r="R894">
            <v>18672.16854694486</v>
          </cell>
          <cell r="U894">
            <v>1458.2851152220883</v>
          </cell>
        </row>
        <row r="895">
          <cell r="C895" t="str">
            <v>Banyak lintasan</v>
          </cell>
          <cell r="G895" t="str">
            <v>n</v>
          </cell>
          <cell r="H895">
            <v>10</v>
          </cell>
          <cell r="I895" t="str">
            <v>lintasan</v>
          </cell>
          <cell r="L895" t="str">
            <v>2.</v>
          </cell>
          <cell r="N895" t="str">
            <v>Dump Truck</v>
          </cell>
          <cell r="O895" t="str">
            <v>(E08)</v>
          </cell>
          <cell r="P895" t="str">
            <v>jam</v>
          </cell>
          <cell r="Q895">
            <v>7.210090361445784E-2</v>
          </cell>
          <cell r="R895">
            <v>153645.58193291764</v>
          </cell>
          <cell r="U895">
            <v>11077.98529373258</v>
          </cell>
        </row>
        <row r="896">
          <cell r="C896" t="str">
            <v>Tebal lapis hamparan</v>
          </cell>
          <cell r="G896" t="str">
            <v>tp</v>
          </cell>
          <cell r="H896">
            <v>0.2</v>
          </cell>
          <cell r="I896" t="str">
            <v>M</v>
          </cell>
          <cell r="L896" t="str">
            <v>3.</v>
          </cell>
          <cell r="N896" t="str">
            <v>Alat  Bantu</v>
          </cell>
          <cell r="P896" t="str">
            <v>Ls</v>
          </cell>
          <cell r="Q896">
            <v>1</v>
          </cell>
          <cell r="R896">
            <v>150</v>
          </cell>
          <cell r="U896">
            <v>150</v>
          </cell>
        </row>
        <row r="899">
          <cell r="C899" t="str">
            <v>Kap. Prod. / Jam   =</v>
          </cell>
          <cell r="D899" t="str">
            <v>v x 1000 x Fa x Lb x 60</v>
          </cell>
          <cell r="G899" t="str">
            <v>Q1</v>
          </cell>
          <cell r="H899">
            <v>3.3200000000000003</v>
          </cell>
          <cell r="I899" t="str">
            <v xml:space="preserve">M3 / Jam </v>
          </cell>
        </row>
        <row r="900">
          <cell r="D900" t="str">
            <v xml:space="preserve">    n x tp</v>
          </cell>
        </row>
        <row r="902">
          <cell r="C902" t="str">
            <v>Koefisien Alat / m'</v>
          </cell>
          <cell r="D902" t="str">
            <v xml:space="preserve"> =  1  :  Q1 x Vp</v>
          </cell>
          <cell r="G902" t="str">
            <v>(E25)</v>
          </cell>
          <cell r="H902">
            <v>7.8099397590361455E-2</v>
          </cell>
          <cell r="I902" t="str">
            <v>jam</v>
          </cell>
          <cell r="Q902" t="str">
            <v xml:space="preserve">JUMLAH HARGA PERALATAN   </v>
          </cell>
          <cell r="U902">
            <v>12686.270408954668</v>
          </cell>
        </row>
        <row r="904">
          <cell r="A904" t="str">
            <v>2.b.</v>
          </cell>
          <cell r="C904" t="str">
            <v>DUMP TRUCK</v>
          </cell>
          <cell r="G904" t="str">
            <v>(E08)</v>
          </cell>
          <cell r="L904" t="str">
            <v>D.</v>
          </cell>
          <cell r="N904" t="str">
            <v>JUMLAH HARGA TENAGA, BAHAN DAN PERALATAN  ( A + B + C )</v>
          </cell>
          <cell r="U904">
            <v>75910.441697076094</v>
          </cell>
        </row>
        <row r="905">
          <cell r="C905" t="str">
            <v>Kapasitas bak sekali muat</v>
          </cell>
          <cell r="G905" t="str">
            <v>V</v>
          </cell>
          <cell r="H905">
            <v>20</v>
          </cell>
          <cell r="I905" t="str">
            <v>Buah/M'</v>
          </cell>
          <cell r="L905" t="str">
            <v>E.</v>
          </cell>
          <cell r="N905" t="str">
            <v>OVERHEAD &amp; PROFIT</v>
          </cell>
          <cell r="P905">
            <v>10</v>
          </cell>
          <cell r="Q905" t="str">
            <v>%  x  D</v>
          </cell>
          <cell r="U905">
            <v>7591.0441697076094</v>
          </cell>
        </row>
        <row r="906">
          <cell r="C906" t="str">
            <v>Faktor efisiensi alat</v>
          </cell>
          <cell r="G906" t="str">
            <v>Fa</v>
          </cell>
          <cell r="H906">
            <v>0.83</v>
          </cell>
          <cell r="L906" t="str">
            <v>F.</v>
          </cell>
          <cell r="N906" t="str">
            <v>HARGA SATUAN PEKERJAAN  ( D + E )</v>
          </cell>
          <cell r="U906">
            <v>83501.485866783711</v>
          </cell>
        </row>
        <row r="907">
          <cell r="C907" t="str">
            <v>Kecepatanrata-rata bermuatan</v>
          </cell>
          <cell r="G907" t="str">
            <v>v1</v>
          </cell>
          <cell r="H907">
            <v>40</v>
          </cell>
          <cell r="I907" t="str">
            <v>Km/Jam</v>
          </cell>
          <cell r="L907" t="str">
            <v>Note: 1</v>
          </cell>
          <cell r="N907" t="str">
            <v>SATUAN dapat berdasarkan atas jam operasi untuk Tenaga Kerja dan Peralatan, volume dan/atau ukuran</v>
          </cell>
        </row>
        <row r="908">
          <cell r="C908" t="str">
            <v>Kecepatan rata-rata kosong</v>
          </cell>
          <cell r="G908" t="str">
            <v>v2</v>
          </cell>
          <cell r="H908">
            <v>60</v>
          </cell>
          <cell r="I908" t="str">
            <v>Km/Jam</v>
          </cell>
          <cell r="N908" t="str">
            <v>berat untuk bahan-bahan.</v>
          </cell>
        </row>
        <row r="909">
          <cell r="C909" t="str">
            <v>Waktu siklus    :</v>
          </cell>
          <cell r="G909" t="str">
            <v>Ts1</v>
          </cell>
          <cell r="L909">
            <v>2</v>
          </cell>
          <cell r="N909" t="str">
            <v>Kuantitas satuan adalah kuantitas setiap komponen untuk menyelesaikan satu satuan pekerjaan dari nomor</v>
          </cell>
        </row>
        <row r="910">
          <cell r="C910" t="str">
            <v>- Waktu  tempuh in  si  = (L : v1 ) x 60</v>
          </cell>
          <cell r="G910" t="str">
            <v>T1</v>
          </cell>
          <cell r="H910">
            <v>13.087499999999999</v>
          </cell>
          <cell r="I910" t="str">
            <v>menit</v>
          </cell>
          <cell r="N910" t="str">
            <v>mata pembayaran.</v>
          </cell>
        </row>
        <row r="911">
          <cell r="C911" t="str">
            <v>-  Waktutempuh kosong  = (L : v2)  x  60</v>
          </cell>
          <cell r="G911" t="str">
            <v>T2</v>
          </cell>
          <cell r="H911">
            <v>8.7249999999999996</v>
          </cell>
          <cell r="I911" t="str">
            <v>menit</v>
          </cell>
          <cell r="L911">
            <v>3</v>
          </cell>
          <cell r="N911" t="str">
            <v>Biaya satuan untuk peralatan sudah termasuk bahan bakar, bahan habis dipakai dan operator.</v>
          </cell>
        </row>
        <row r="912">
          <cell r="C912" t="str">
            <v>-  Muat, bongkar dan lain-lain</v>
          </cell>
          <cell r="G912" t="str">
            <v>T3</v>
          </cell>
          <cell r="H912">
            <v>50</v>
          </cell>
          <cell r="I912" t="str">
            <v>menit</v>
          </cell>
          <cell r="L912">
            <v>4</v>
          </cell>
          <cell r="N912" t="str">
            <v>Biaya satuan sudah termasuk pengeluaran untuk seluruh pajak yang berkaitan (tetapi tidak termasuk PPN</v>
          </cell>
        </row>
        <row r="913">
          <cell r="G913" t="str">
            <v>Ts1</v>
          </cell>
          <cell r="H913">
            <v>71.8125</v>
          </cell>
          <cell r="I913" t="str">
            <v>menit</v>
          </cell>
          <cell r="N913" t="str">
            <v>yang dibayar dari kontrak) dan biaya-biaya lainnya.</v>
          </cell>
        </row>
        <row r="914">
          <cell r="J914" t="str">
            <v>Berlanjut ke halaman berikut</v>
          </cell>
        </row>
        <row r="915">
          <cell r="A915" t="str">
            <v>ITEM PEMBAYARAN NO.</v>
          </cell>
          <cell r="D915" t="str">
            <v>:  2.3 (8)</v>
          </cell>
          <cell r="J915" t="str">
            <v xml:space="preserve">Analisa EI-235 </v>
          </cell>
        </row>
        <row r="916">
          <cell r="A916" t="str">
            <v>JENIS PEKERJAAN</v>
          </cell>
          <cell r="D916" t="str">
            <v>: Gorong-Gorong Pipa beton tanpa tulangan diameter dalam 100 mm sampai 900 mm</v>
          </cell>
        </row>
        <row r="917">
          <cell r="A917" t="str">
            <v>SATUAN PEMBAYARAN</v>
          </cell>
          <cell r="D917" t="str">
            <v>:  M1</v>
          </cell>
          <cell r="J917" t="str">
            <v xml:space="preserve">         URAIAN ANALISA HARGA SATUAN</v>
          </cell>
        </row>
        <row r="918">
          <cell r="J918" t="str">
            <v>Lanjutan</v>
          </cell>
        </row>
        <row r="920">
          <cell r="A920" t="str">
            <v>No.</v>
          </cell>
          <cell r="C920" t="str">
            <v>U R A I A N</v>
          </cell>
          <cell r="G920" t="str">
            <v>KODE</v>
          </cell>
          <cell r="H920" t="str">
            <v>KOEF.</v>
          </cell>
          <cell r="I920" t="str">
            <v>SATUAN</v>
          </cell>
          <cell r="J920" t="str">
            <v>KETERANGAN</v>
          </cell>
        </row>
        <row r="923">
          <cell r="C923" t="str">
            <v>Kapasitas Produksi / Jam   =</v>
          </cell>
          <cell r="E923" t="str">
            <v>V x Fa x 60</v>
          </cell>
          <cell r="G923" t="str">
            <v>Q2</v>
          </cell>
          <cell r="H923">
            <v>13.869451697127936</v>
          </cell>
          <cell r="I923" t="str">
            <v xml:space="preserve">M' / Jam </v>
          </cell>
        </row>
        <row r="924">
          <cell r="E924" t="str">
            <v>Ts1</v>
          </cell>
        </row>
        <row r="926">
          <cell r="C926" t="str">
            <v>Koefisien Alat / m'</v>
          </cell>
          <cell r="D926" t="str">
            <v xml:space="preserve"> =  1  :  Q2</v>
          </cell>
          <cell r="G926" t="str">
            <v>(E08)</v>
          </cell>
          <cell r="H926">
            <v>7.210090361445784E-2</v>
          </cell>
          <cell r="I926" t="str">
            <v>jam</v>
          </cell>
        </row>
        <row r="929">
          <cell r="A929" t="str">
            <v>2.c.</v>
          </cell>
          <cell r="C929" t="str">
            <v>ALAT  BANTU</v>
          </cell>
        </row>
        <row r="930">
          <cell r="C930" t="str">
            <v>Diperlukan alat-alat bantu kecil</v>
          </cell>
          <cell r="J930" t="str">
            <v>Lump Sump</v>
          </cell>
        </row>
        <row r="931">
          <cell r="C931" t="str">
            <v>- Sekop    =         3   buah</v>
          </cell>
        </row>
        <row r="932">
          <cell r="C932" t="str">
            <v>- Pacul     =         3   buah</v>
          </cell>
        </row>
        <row r="933">
          <cell r="C933" t="str">
            <v>- Alat-alat kecil lain</v>
          </cell>
        </row>
        <row r="935">
          <cell r="A935" t="str">
            <v xml:space="preserve">   3.</v>
          </cell>
          <cell r="C935" t="str">
            <v>TENAGA</v>
          </cell>
        </row>
        <row r="936">
          <cell r="C936" t="str">
            <v>Produksi Gorong-gorong / hari</v>
          </cell>
          <cell r="G936" t="str">
            <v>Qt</v>
          </cell>
          <cell r="H936">
            <v>20</v>
          </cell>
          <cell r="I936" t="str">
            <v>M'</v>
          </cell>
        </row>
        <row r="937">
          <cell r="C937" t="str">
            <v>Kebutuhan tenaga :</v>
          </cell>
        </row>
        <row r="938">
          <cell r="D938" t="str">
            <v>- Pekerja</v>
          </cell>
          <cell r="G938" t="str">
            <v>P</v>
          </cell>
          <cell r="H938">
            <v>5</v>
          </cell>
          <cell r="I938" t="str">
            <v>orang</v>
          </cell>
        </row>
        <row r="939">
          <cell r="D939" t="str">
            <v>- Tukang</v>
          </cell>
          <cell r="G939" t="str">
            <v>T</v>
          </cell>
          <cell r="H939">
            <v>0</v>
          </cell>
          <cell r="I939" t="str">
            <v>orang</v>
          </cell>
        </row>
        <row r="940">
          <cell r="D940" t="str">
            <v>- Mandor</v>
          </cell>
          <cell r="G940" t="str">
            <v>M</v>
          </cell>
          <cell r="H940">
            <v>1</v>
          </cell>
          <cell r="I940" t="str">
            <v>orang</v>
          </cell>
        </row>
        <row r="942">
          <cell r="C942" t="str">
            <v>Koefisien tenaga / M1   :</v>
          </cell>
        </row>
        <row r="943">
          <cell r="D943" t="str">
            <v>- Pekerja</v>
          </cell>
          <cell r="E943" t="str">
            <v>= (Tk x P) : Qt</v>
          </cell>
          <cell r="G943" t="str">
            <v>(L01)</v>
          </cell>
          <cell r="H943">
            <v>1.75</v>
          </cell>
          <cell r="I943" t="str">
            <v>Jam</v>
          </cell>
        </row>
        <row r="944">
          <cell r="D944" t="str">
            <v>- Tukang</v>
          </cell>
          <cell r="E944" t="str">
            <v>= (Tk x T) : Qt</v>
          </cell>
          <cell r="G944" t="str">
            <v>(L02)</v>
          </cell>
          <cell r="H944">
            <v>0</v>
          </cell>
          <cell r="I944" t="str">
            <v>Jam</v>
          </cell>
        </row>
        <row r="945">
          <cell r="D945" t="str">
            <v>- Mandor</v>
          </cell>
          <cell r="E945" t="str">
            <v>= (Tk x M) : Qt</v>
          </cell>
          <cell r="G945" t="str">
            <v>(L03)</v>
          </cell>
          <cell r="H945">
            <v>0.35</v>
          </cell>
          <cell r="I945" t="str">
            <v>Jam</v>
          </cell>
        </row>
        <row r="947">
          <cell r="A947" t="str">
            <v>4.</v>
          </cell>
          <cell r="C947" t="str">
            <v>HARGA DASAR SATUAN UPAH, BAHAN DAN ALAT</v>
          </cell>
        </row>
        <row r="948">
          <cell r="C948" t="str">
            <v>Lihat lampiran.</v>
          </cell>
        </row>
        <row r="951">
          <cell r="A951" t="str">
            <v>5.</v>
          </cell>
          <cell r="C951" t="str">
            <v>ANALISA HARGA SATUAN PEKERJAAN</v>
          </cell>
        </row>
        <row r="952">
          <cell r="C952" t="str">
            <v>Lihat perhitungan dalam FORMULIR STANDAR UNTUK</v>
          </cell>
        </row>
        <row r="953">
          <cell r="C953" t="str">
            <v>PEREKEMAN ANALISA MASING-MASING HARGA</v>
          </cell>
        </row>
        <row r="954">
          <cell r="C954" t="str">
            <v>SATUAN.</v>
          </cell>
        </row>
        <row r="955">
          <cell r="C955" t="str">
            <v>Didapat Harga Satuan Pekerjaan :</v>
          </cell>
        </row>
        <row r="957">
          <cell r="C957" t="str">
            <v xml:space="preserve">Rp.  </v>
          </cell>
          <cell r="D957">
            <v>83501.485866783711</v>
          </cell>
          <cell r="E957" t="str">
            <v xml:space="preserve"> / M'</v>
          </cell>
        </row>
        <row r="960">
          <cell r="A960" t="str">
            <v>6.</v>
          </cell>
          <cell r="C960" t="str">
            <v>WAKTU PELAKSANAAN YANG DIPERLUKAN</v>
          </cell>
        </row>
        <row r="961">
          <cell r="C961" t="str">
            <v>Masa Pelaksanaan :</v>
          </cell>
          <cell r="D961" t="str">
            <v>. . . . . . . . . . . .</v>
          </cell>
          <cell r="E961" t="str">
            <v>bulan</v>
          </cell>
        </row>
        <row r="963">
          <cell r="A963" t="str">
            <v>7.</v>
          </cell>
          <cell r="C963" t="str">
            <v>VOLUME PEKERJAAN YANG DIPERLUKAN</v>
          </cell>
        </row>
        <row r="964">
          <cell r="C964" t="str">
            <v>Volume pekerjaan  :</v>
          </cell>
          <cell r="D964">
            <v>1</v>
          </cell>
          <cell r="E964" t="str">
            <v>M'</v>
          </cell>
        </row>
        <row r="974">
          <cell r="A974" t="str">
            <v>ITEM PEMBAYARAN NO.</v>
          </cell>
          <cell r="D974" t="str">
            <v>:  2.3 (9)</v>
          </cell>
          <cell r="J974" t="str">
            <v xml:space="preserve">Analisa EI-241 </v>
          </cell>
        </row>
        <row r="975">
          <cell r="A975" t="str">
            <v>JENIS PEKERJAAN</v>
          </cell>
          <cell r="D975" t="str">
            <v>: Gorong-gorong persegi beton bertulang pracetak dengan dimensi………</v>
          </cell>
        </row>
        <row r="976">
          <cell r="A976" t="str">
            <v>SATUAN PEMBAYARAN</v>
          </cell>
          <cell r="D976" t="str">
            <v>:  M1</v>
          </cell>
          <cell r="J976" t="str">
            <v xml:space="preserve">         URAIAN ANALISA HARGA SATUAN</v>
          </cell>
        </row>
        <row r="978">
          <cell r="A978" t="str">
            <v>ITEM PEMBAYARAN NO.</v>
          </cell>
          <cell r="D978" t="str">
            <v>:  2.4 (1)</v>
          </cell>
          <cell r="J978" t="str">
            <v xml:space="preserve">Analisa EI-241 </v>
          </cell>
        </row>
        <row r="979">
          <cell r="A979" t="str">
            <v>JENIS PEKERJAAN</v>
          </cell>
          <cell r="D979" t="str">
            <v>:  Timbunan Porous / Bhn.Penyaring</v>
          </cell>
          <cell r="L979" t="str">
            <v>FORMULIR STANDAR UNTUK</v>
          </cell>
        </row>
        <row r="980">
          <cell r="A980" t="str">
            <v>SATUAN PEMBAYARAN</v>
          </cell>
          <cell r="D980" t="str">
            <v>:  M3</v>
          </cell>
          <cell r="J980" t="str">
            <v xml:space="preserve">         URAIAN ANALISA HARGA SATUAN</v>
          </cell>
          <cell r="L980" t="str">
            <v>PEREKAMAN ANALISA MASING-MASING HARGA SATUAN</v>
          </cell>
        </row>
        <row r="981">
          <cell r="L981" t="str">
            <v xml:space="preserve">                                                                                                            </v>
          </cell>
        </row>
        <row r="983">
          <cell r="A983" t="str">
            <v>No.</v>
          </cell>
          <cell r="C983" t="str">
            <v>U R A I A N</v>
          </cell>
          <cell r="G983" t="str">
            <v>KODE</v>
          </cell>
          <cell r="H983" t="str">
            <v>KOEF.</v>
          </cell>
          <cell r="I983" t="str">
            <v>SATUAN</v>
          </cell>
          <cell r="J983" t="str">
            <v>KETERANGAN</v>
          </cell>
        </row>
        <row r="984">
          <cell r="L984" t="str">
            <v>PROYEK</v>
          </cell>
          <cell r="O984" t="str">
            <v>:</v>
          </cell>
        </row>
        <row r="985">
          <cell r="L985" t="str">
            <v>No. PAKET KONTRAK</v>
          </cell>
          <cell r="O985" t="str">
            <v>:</v>
          </cell>
        </row>
        <row r="986">
          <cell r="A986" t="str">
            <v>I.</v>
          </cell>
          <cell r="C986" t="str">
            <v>ASUMSI</v>
          </cell>
          <cell r="L986" t="str">
            <v>NAMA PAKET</v>
          </cell>
          <cell r="O986" t="str">
            <v>:</v>
          </cell>
        </row>
        <row r="987">
          <cell r="A987">
            <v>1</v>
          </cell>
          <cell r="C987" t="str">
            <v>Pekerjaan dilakukan secara manual</v>
          </cell>
          <cell r="L987" t="str">
            <v>PROP / KAB / KODYA</v>
          </cell>
          <cell r="O987" t="str">
            <v>:</v>
          </cell>
        </row>
        <row r="988">
          <cell r="A988">
            <v>2</v>
          </cell>
          <cell r="C988" t="str">
            <v>Lokasi pekerjaan : sepanjang jalan</v>
          </cell>
          <cell r="L988" t="str">
            <v>ITEM PEMBAYARAN NO.</v>
          </cell>
          <cell r="O988" t="str">
            <v>:  2.4 (1)</v>
          </cell>
          <cell r="R988" t="str">
            <v>PERKIRAAN VOL. PEK.</v>
          </cell>
          <cell r="T988" t="str">
            <v>:</v>
          </cell>
          <cell r="U988">
            <v>1</v>
          </cell>
        </row>
        <row r="989">
          <cell r="A989">
            <v>3</v>
          </cell>
          <cell r="C989" t="str">
            <v>Kondisi Jalan   :  sedang / baik</v>
          </cell>
          <cell r="L989" t="str">
            <v>JENIS PEKERJAAN</v>
          </cell>
          <cell r="O989" t="str">
            <v>:  Timbunan Porous / Bhn.Penyaring</v>
          </cell>
          <cell r="R989" t="str">
            <v>TOTAL HARGA (Rp.)</v>
          </cell>
          <cell r="T989" t="str">
            <v>:</v>
          </cell>
          <cell r="U989">
            <v>83501.485866783711</v>
          </cell>
        </row>
        <row r="990">
          <cell r="A990">
            <v>4</v>
          </cell>
          <cell r="C990" t="str">
            <v>Jam kerja efektif per-hari</v>
          </cell>
          <cell r="G990" t="str">
            <v>Tk</v>
          </cell>
          <cell r="H990">
            <v>7</v>
          </cell>
          <cell r="I990" t="str">
            <v>Jam</v>
          </cell>
          <cell r="L990" t="str">
            <v>SATUAN PEMBAYARAN</v>
          </cell>
          <cell r="O990" t="str">
            <v>:  M3</v>
          </cell>
          <cell r="R990" t="str">
            <v>% THD. BIAYA PROYEK</v>
          </cell>
          <cell r="T990" t="str">
            <v>:</v>
          </cell>
          <cell r="U990" t="e">
            <v>#DIV/0!</v>
          </cell>
        </row>
        <row r="991">
          <cell r="A991">
            <v>5</v>
          </cell>
          <cell r="C991" t="str">
            <v>Faktor kehilangan material</v>
          </cell>
          <cell r="G991" t="str">
            <v>Fh</v>
          </cell>
          <cell r="H991">
            <v>1.1000000000000001</v>
          </cell>
          <cell r="I991" t="str">
            <v>-</v>
          </cell>
        </row>
        <row r="992">
          <cell r="A992">
            <v>6</v>
          </cell>
          <cell r="C992" t="str">
            <v>Material Porous terdiri dari batu pecah dan pasir</v>
          </cell>
        </row>
        <row r="993">
          <cell r="Q993" t="str">
            <v>PERKIRAAN</v>
          </cell>
          <cell r="R993" t="str">
            <v>HARGA</v>
          </cell>
          <cell r="S993" t="str">
            <v>JUMLAH</v>
          </cell>
        </row>
        <row r="994">
          <cell r="A994" t="str">
            <v>II.</v>
          </cell>
          <cell r="C994" t="str">
            <v>URUTAN KERJA</v>
          </cell>
          <cell r="L994" t="str">
            <v>NO.</v>
          </cell>
          <cell r="N994" t="str">
            <v>KOMPONEN</v>
          </cell>
          <cell r="P994" t="str">
            <v>SATUAN</v>
          </cell>
          <cell r="Q994" t="str">
            <v>KUANTITAS</v>
          </cell>
          <cell r="R994" t="str">
            <v>SATUAN</v>
          </cell>
          <cell r="S994" t="str">
            <v>HARGA</v>
          </cell>
        </row>
        <row r="995">
          <cell r="A995">
            <v>1</v>
          </cell>
          <cell r="C995" t="str">
            <v>Material Porous diterima dilokasi pekerjaan</v>
          </cell>
          <cell r="R995" t="str">
            <v>(Rp.)</v>
          </cell>
          <cell r="S995" t="str">
            <v>(Rp.)</v>
          </cell>
        </row>
        <row r="996">
          <cell r="A996">
            <v>2</v>
          </cell>
          <cell r="C996" t="str">
            <v>Material dipadatkan dengan menggunakan</v>
          </cell>
        </row>
        <row r="997">
          <cell r="C997" t="str">
            <v>Tamper</v>
          </cell>
        </row>
        <row r="998">
          <cell r="A998">
            <v>3</v>
          </cell>
          <cell r="C998" t="str">
            <v>Pemadatan dilakukan lapis demi lapis</v>
          </cell>
          <cell r="G998" t="str">
            <v>t</v>
          </cell>
          <cell r="H998">
            <v>0.15</v>
          </cell>
          <cell r="I998" t="str">
            <v>M</v>
          </cell>
          <cell r="L998" t="str">
            <v>A.</v>
          </cell>
          <cell r="N998" t="str">
            <v>TENAGA</v>
          </cell>
        </row>
        <row r="999">
          <cell r="A999">
            <v>4</v>
          </cell>
          <cell r="C999" t="str">
            <v>Pekerjaan galian dilaksanakan oleh pekerja</v>
          </cell>
        </row>
        <row r="1000">
          <cell r="L1000" t="str">
            <v>1.</v>
          </cell>
          <cell r="N1000" t="str">
            <v>Pekerja</v>
          </cell>
          <cell r="O1000" t="str">
            <v>(L01)</v>
          </cell>
          <cell r="P1000" t="str">
            <v>Jam</v>
          </cell>
          <cell r="Q1000">
            <v>2.8</v>
          </cell>
          <cell r="R1000">
            <v>2857.14</v>
          </cell>
          <cell r="U1000">
            <v>7999.9919999999993</v>
          </cell>
        </row>
        <row r="1001">
          <cell r="A1001" t="str">
            <v>III.</v>
          </cell>
          <cell r="C1001" t="str">
            <v>PEMAKAIAN BAHAN, ALAT DAN TENAGA</v>
          </cell>
          <cell r="L1001" t="str">
            <v>2.</v>
          </cell>
          <cell r="N1001" t="str">
            <v>Mandor</v>
          </cell>
          <cell r="O1001" t="str">
            <v>(L03)</v>
          </cell>
          <cell r="P1001" t="str">
            <v>Jam</v>
          </cell>
          <cell r="Q1001">
            <v>0.7</v>
          </cell>
          <cell r="R1001">
            <v>3214.29</v>
          </cell>
          <cell r="U1001">
            <v>2250.0029999999997</v>
          </cell>
        </row>
        <row r="1002">
          <cell r="A1002" t="str">
            <v xml:space="preserve">   1.</v>
          </cell>
          <cell r="C1002" t="str">
            <v>BAHAN</v>
          </cell>
        </row>
        <row r="1003">
          <cell r="C1003" t="str">
            <v>Material Porous terdiri dari :</v>
          </cell>
        </row>
        <row r="1004">
          <cell r="C1004" t="str">
            <v>- Batu pecah</v>
          </cell>
          <cell r="G1004" t="str">
            <v>Bt</v>
          </cell>
          <cell r="H1004">
            <v>50</v>
          </cell>
          <cell r="I1004" t="str">
            <v>%</v>
          </cell>
          <cell r="Q1004" t="str">
            <v xml:space="preserve">JUMLAH HARGA TENAGA   </v>
          </cell>
          <cell r="U1004">
            <v>10249.994999999999</v>
          </cell>
        </row>
        <row r="1005">
          <cell r="C1005" t="str">
            <v>- Pasir</v>
          </cell>
          <cell r="G1005" t="str">
            <v>Ps</v>
          </cell>
          <cell r="H1005">
            <v>50</v>
          </cell>
          <cell r="I1005" t="str">
            <v>%</v>
          </cell>
        </row>
        <row r="1006">
          <cell r="L1006" t="str">
            <v>B.</v>
          </cell>
          <cell r="N1006" t="str">
            <v>BAHAN</v>
          </cell>
        </row>
        <row r="1007">
          <cell r="C1007" t="str">
            <v>Kebutuhan Batu Pecah / M3  = (Bt : 100) x Fh</v>
          </cell>
          <cell r="G1007" t="str">
            <v>(M03)</v>
          </cell>
          <cell r="H1007">
            <v>0.55000000000000004</v>
          </cell>
          <cell r="I1007" t="str">
            <v>M3</v>
          </cell>
          <cell r="J1007" t="str">
            <v xml:space="preserve"> Agregat Kasar</v>
          </cell>
        </row>
        <row r="1008">
          <cell r="C1008" t="str">
            <v>Kebutuhan Pasir / M3   =  (Ps : 100) x Fh</v>
          </cell>
          <cell r="G1008" t="str">
            <v>(M01)</v>
          </cell>
          <cell r="H1008">
            <v>0.55000000000000004</v>
          </cell>
          <cell r="I1008" t="str">
            <v>M3</v>
          </cell>
          <cell r="L1008" t="str">
            <v>1.</v>
          </cell>
          <cell r="N1008" t="str">
            <v>Agregat Kasar</v>
          </cell>
          <cell r="O1008" t="str">
            <v>(M03)</v>
          </cell>
          <cell r="P1008" t="str">
            <v>M3</v>
          </cell>
          <cell r="Q1008">
            <v>0.55000000000000004</v>
          </cell>
          <cell r="R1008">
            <v>222345.54558042376</v>
          </cell>
          <cell r="U1008">
            <v>122290.05006923308</v>
          </cell>
        </row>
        <row r="1009">
          <cell r="L1009" t="str">
            <v>2.</v>
          </cell>
          <cell r="N1009" t="str">
            <v>Pasir</v>
          </cell>
          <cell r="O1009" t="str">
            <v>(M01)</v>
          </cell>
          <cell r="P1009" t="str">
            <v>M3</v>
          </cell>
          <cell r="Q1009">
            <v>0.55000000000000004</v>
          </cell>
          <cell r="R1009">
            <v>54300</v>
          </cell>
          <cell r="U1009">
            <v>29865.000000000004</v>
          </cell>
        </row>
        <row r="1011">
          <cell r="A1011" t="str">
            <v xml:space="preserve">   2.</v>
          </cell>
          <cell r="C1011" t="str">
            <v>ALAT</v>
          </cell>
        </row>
        <row r="1012">
          <cell r="A1012" t="str">
            <v>2.a.</v>
          </cell>
          <cell r="C1012" t="str">
            <v>HAND COMPACTOR</v>
          </cell>
          <cell r="G1012" t="str">
            <v>(E25)</v>
          </cell>
        </row>
        <row r="1013">
          <cell r="C1013" t="str">
            <v>Kecepatan</v>
          </cell>
          <cell r="G1013" t="str">
            <v>v</v>
          </cell>
          <cell r="H1013">
            <v>0.25</v>
          </cell>
          <cell r="I1013" t="str">
            <v>Km / Jam</v>
          </cell>
        </row>
        <row r="1014">
          <cell r="C1014" t="str">
            <v>Efisiensi alat</v>
          </cell>
          <cell r="G1014" t="str">
            <v>Fa</v>
          </cell>
          <cell r="H1014">
            <v>0.83</v>
          </cell>
          <cell r="I1014" t="str">
            <v>-</v>
          </cell>
          <cell r="Q1014" t="str">
            <v xml:space="preserve">JUMLAH HARGA BAHAN   </v>
          </cell>
          <cell r="U1014">
            <v>152155.05006923308</v>
          </cell>
        </row>
        <row r="1015">
          <cell r="C1015" t="str">
            <v>Lebar pemadatan</v>
          </cell>
          <cell r="G1015" t="str">
            <v>b</v>
          </cell>
          <cell r="H1015">
            <v>0.25</v>
          </cell>
          <cell r="I1015" t="str">
            <v>M</v>
          </cell>
        </row>
        <row r="1016">
          <cell r="C1016" t="str">
            <v>Banyak lintasan</v>
          </cell>
          <cell r="G1016" t="str">
            <v>n</v>
          </cell>
          <cell r="H1016">
            <v>10</v>
          </cell>
          <cell r="I1016" t="str">
            <v>lintasan</v>
          </cell>
          <cell r="L1016" t="str">
            <v>C.</v>
          </cell>
          <cell r="N1016" t="str">
            <v>PERALATAN</v>
          </cell>
        </row>
        <row r="1018">
          <cell r="L1018" t="str">
            <v>1.</v>
          </cell>
          <cell r="N1018" t="str">
            <v>Tamper</v>
          </cell>
          <cell r="O1018" t="str">
            <v>(E25)</v>
          </cell>
          <cell r="P1018" t="str">
            <v>Jam</v>
          </cell>
          <cell r="Q1018">
            <v>1.285140562248996</v>
          </cell>
          <cell r="R1018">
            <v>18672.16854694486</v>
          </cell>
          <cell r="U1018">
            <v>23996.361184828736</v>
          </cell>
        </row>
        <row r="1019">
          <cell r="C1019" t="str">
            <v>Kap. Prod. / Jam   =</v>
          </cell>
          <cell r="D1019" t="str">
            <v>v x 1000 x Fa x b x t</v>
          </cell>
          <cell r="G1019" t="str">
            <v>Q1</v>
          </cell>
          <cell r="H1019">
            <v>0.77812499999999996</v>
          </cell>
          <cell r="I1019" t="str">
            <v xml:space="preserve">M3 / Jam </v>
          </cell>
          <cell r="L1019" t="str">
            <v>2.</v>
          </cell>
          <cell r="N1019" t="str">
            <v>Alat  Bantu</v>
          </cell>
          <cell r="P1019" t="str">
            <v>Ls</v>
          </cell>
          <cell r="Q1019">
            <v>1</v>
          </cell>
          <cell r="R1019">
            <v>500</v>
          </cell>
          <cell r="U1019">
            <v>500</v>
          </cell>
        </row>
        <row r="1020">
          <cell r="D1020" t="str">
            <v xml:space="preserve">        n</v>
          </cell>
        </row>
        <row r="1022">
          <cell r="C1022" t="str">
            <v>Koefisien Alat / M3</v>
          </cell>
          <cell r="D1022" t="str">
            <v xml:space="preserve"> =  1  :  Q1</v>
          </cell>
          <cell r="G1022" t="str">
            <v>(E25)</v>
          </cell>
          <cell r="H1022">
            <v>1.285140562248996</v>
          </cell>
          <cell r="I1022" t="str">
            <v>Jam</v>
          </cell>
        </row>
        <row r="1025">
          <cell r="A1025" t="str">
            <v>2.b.</v>
          </cell>
          <cell r="C1025" t="str">
            <v>ALAT  BANTU</v>
          </cell>
        </row>
        <row r="1026">
          <cell r="C1026" t="str">
            <v>Diperlukan alat-alat bantu kecil</v>
          </cell>
          <cell r="J1026" t="str">
            <v>Lump Sump</v>
          </cell>
          <cell r="Q1026" t="str">
            <v xml:space="preserve">JUMLAH HARGA PERALATAN   </v>
          </cell>
          <cell r="U1026">
            <v>24496.361184828736</v>
          </cell>
        </row>
        <row r="1027">
          <cell r="C1027" t="str">
            <v>- Sekop    =         3   buah</v>
          </cell>
        </row>
        <row r="1028">
          <cell r="C1028" t="str">
            <v>- Alat-alat kecil lain</v>
          </cell>
          <cell r="L1028" t="str">
            <v>D.</v>
          </cell>
          <cell r="N1028" t="str">
            <v>JUMLAH HARGA TENAGA, BAHAN DAN PERALATAN  ( A + B + C )</v>
          </cell>
          <cell r="U1028">
            <v>186901.40625406182</v>
          </cell>
        </row>
        <row r="1029">
          <cell r="L1029" t="str">
            <v>E.</v>
          </cell>
          <cell r="N1029" t="str">
            <v>OVERHEAD &amp; PROFIT</v>
          </cell>
          <cell r="P1029">
            <v>10</v>
          </cell>
          <cell r="Q1029" t="str">
            <v>%  x  D</v>
          </cell>
          <cell r="U1029">
            <v>18690.140625406184</v>
          </cell>
        </row>
        <row r="1030">
          <cell r="L1030" t="str">
            <v>F.</v>
          </cell>
          <cell r="N1030" t="str">
            <v>HARGA SATUAN PEKERJAAN  ( D + E )</v>
          </cell>
          <cell r="U1030">
            <v>205591.54687946799</v>
          </cell>
        </row>
        <row r="1031">
          <cell r="L1031" t="str">
            <v>Note: 1</v>
          </cell>
          <cell r="N1031" t="str">
            <v>SATUAN dapat berdasarkan atas jam operasi untuk Tenaga Kerja dan Peralatan, volume dan/atau ukuran</v>
          </cell>
        </row>
        <row r="1032">
          <cell r="N1032" t="str">
            <v>berat untuk bahan-bahan.</v>
          </cell>
        </row>
        <row r="1033">
          <cell r="L1033">
            <v>2</v>
          </cell>
          <cell r="N1033" t="str">
            <v>Kuantitas satuan adalah kuantitas setiap komponen untuk menyelesaikan satu satuan pekerjaan dari nomor</v>
          </cell>
        </row>
        <row r="1034">
          <cell r="N1034" t="str">
            <v>mata pembayaran.</v>
          </cell>
        </row>
        <row r="1035">
          <cell r="L1035">
            <v>3</v>
          </cell>
          <cell r="N1035" t="str">
            <v>Biaya satuan untuk peralatan sudah termasuk bahan bakar, bahan habis dipakai dan operator.</v>
          </cell>
        </row>
        <row r="1036">
          <cell r="L1036">
            <v>4</v>
          </cell>
          <cell r="N1036" t="str">
            <v>Biaya satuan sudah termasuk pengeluaran untuk seluruh pajak yang berkaitan (tetapi tidak termasuk PPN</v>
          </cell>
        </row>
        <row r="1037">
          <cell r="N1037" t="str">
            <v>yang dibayar dari kontrak) dan biaya-biaya lainnya.</v>
          </cell>
        </row>
        <row r="1038">
          <cell r="J1038" t="str">
            <v>Berlanjut ke halaman berikut</v>
          </cell>
        </row>
        <row r="1039">
          <cell r="A1039" t="str">
            <v>ITEM PEMBAYARAN NO.</v>
          </cell>
          <cell r="D1039" t="str">
            <v>:  2.4 (1)</v>
          </cell>
          <cell r="J1039" t="str">
            <v xml:space="preserve">Analisa EI-241 </v>
          </cell>
        </row>
        <row r="1040">
          <cell r="A1040" t="str">
            <v>JENIS PEKERJAAN</v>
          </cell>
          <cell r="D1040" t="str">
            <v>:  Timbunan Porous / Bhn.Penyaring</v>
          </cell>
        </row>
        <row r="1041">
          <cell r="A1041" t="str">
            <v>SATUAN PEMBAYARAN</v>
          </cell>
          <cell r="D1041" t="str">
            <v>:  M3</v>
          </cell>
          <cell r="J1041" t="str">
            <v xml:space="preserve">         URAIAN ANALISA HARGA SATUAN</v>
          </cell>
        </row>
        <row r="1042">
          <cell r="J1042" t="str">
            <v>Lanjutan</v>
          </cell>
        </row>
        <row r="1044">
          <cell r="A1044" t="str">
            <v>No.</v>
          </cell>
          <cell r="C1044" t="str">
            <v>U R A I A N</v>
          </cell>
          <cell r="G1044" t="str">
            <v>KODE</v>
          </cell>
          <cell r="H1044" t="str">
            <v>KOEF.</v>
          </cell>
          <cell r="I1044" t="str">
            <v>SATUAN</v>
          </cell>
          <cell r="J1044" t="str">
            <v>KETERANGAN</v>
          </cell>
        </row>
        <row r="1047">
          <cell r="A1047" t="str">
            <v xml:space="preserve">   3.</v>
          </cell>
          <cell r="C1047" t="str">
            <v>TENAGA</v>
          </cell>
        </row>
        <row r="1048">
          <cell r="C1048" t="str">
            <v>Produksi yang dapat diselesaikan / hari</v>
          </cell>
          <cell r="G1048" t="str">
            <v>Qt</v>
          </cell>
          <cell r="H1048">
            <v>10</v>
          </cell>
          <cell r="I1048" t="str">
            <v>M3</v>
          </cell>
        </row>
        <row r="1049">
          <cell r="C1049" t="str">
            <v>Kebutuhan tenaga :</v>
          </cell>
        </row>
        <row r="1050">
          <cell r="D1050" t="str">
            <v>- Pekerja</v>
          </cell>
          <cell r="G1050" t="str">
            <v>P</v>
          </cell>
          <cell r="H1050">
            <v>4</v>
          </cell>
          <cell r="I1050" t="str">
            <v>orang</v>
          </cell>
        </row>
        <row r="1051">
          <cell r="D1051" t="str">
            <v>- Mandor</v>
          </cell>
          <cell r="G1051" t="str">
            <v>M</v>
          </cell>
          <cell r="H1051">
            <v>1</v>
          </cell>
          <cell r="I1051" t="str">
            <v>orang</v>
          </cell>
        </row>
        <row r="1054">
          <cell r="C1054" t="str">
            <v>Koefisien tenaga / M3   :</v>
          </cell>
        </row>
        <row r="1055">
          <cell r="D1055" t="str">
            <v>- Pekerja</v>
          </cell>
          <cell r="E1055" t="str">
            <v>= (Tk x P) : Qt</v>
          </cell>
          <cell r="G1055" t="str">
            <v>(L01)</v>
          </cell>
          <cell r="H1055">
            <v>2.8</v>
          </cell>
          <cell r="I1055" t="str">
            <v>Jam</v>
          </cell>
        </row>
        <row r="1056">
          <cell r="D1056" t="str">
            <v>- Mandor</v>
          </cell>
          <cell r="E1056" t="str">
            <v>= (Tk x M) : Qt</v>
          </cell>
          <cell r="G1056" t="str">
            <v>(L03)</v>
          </cell>
          <cell r="H1056">
            <v>0.7</v>
          </cell>
          <cell r="I1056" t="str">
            <v>Jam</v>
          </cell>
        </row>
        <row r="1059">
          <cell r="A1059" t="str">
            <v>4.</v>
          </cell>
          <cell r="C1059" t="str">
            <v>HARGA DASAR SATUAN UPAH, BAHAN DAN ALAT</v>
          </cell>
        </row>
        <row r="1060">
          <cell r="C1060" t="str">
            <v>Lihat lampiran.</v>
          </cell>
        </row>
        <row r="1063">
          <cell r="A1063" t="str">
            <v>5.</v>
          </cell>
          <cell r="C1063" t="str">
            <v>ANALISA HARGA SATUAN PEKERJAAN</v>
          </cell>
        </row>
        <row r="1064">
          <cell r="C1064" t="str">
            <v>Lihat perhitungan dalam FORMULIR STANDAR UNTUK</v>
          </cell>
        </row>
        <row r="1065">
          <cell r="C1065" t="str">
            <v>PEREKEMAN ANALISA MASING-MASING HARGA</v>
          </cell>
        </row>
        <row r="1066">
          <cell r="C1066" t="str">
            <v>SATUAN.</v>
          </cell>
        </row>
        <row r="1067">
          <cell r="C1067" t="str">
            <v>Didapat Harga Satuan Pekerjaan :</v>
          </cell>
        </row>
        <row r="1069">
          <cell r="C1069" t="str">
            <v xml:space="preserve">Rp.  </v>
          </cell>
          <cell r="D1069">
            <v>205591.54687946799</v>
          </cell>
          <cell r="E1069" t="str">
            <v xml:space="preserve"> / M3</v>
          </cell>
        </row>
        <row r="1072">
          <cell r="A1072" t="str">
            <v>6.</v>
          </cell>
          <cell r="C1072" t="str">
            <v>WAKTU PELAKSANAAN YANG DIPERLUKAN</v>
          </cell>
        </row>
        <row r="1073">
          <cell r="C1073" t="str">
            <v>Masa Pelaksanaan :</v>
          </cell>
          <cell r="D1073" t="str">
            <v>. . . . . . . . . . . .</v>
          </cell>
          <cell r="E1073" t="str">
            <v>bulan</v>
          </cell>
        </row>
        <row r="1075">
          <cell r="A1075" t="str">
            <v>7.</v>
          </cell>
          <cell r="C1075" t="str">
            <v>VOLUME PEKERJAAN YANG DIPERLUKAN</v>
          </cell>
        </row>
        <row r="1076">
          <cell r="C1076" t="str">
            <v>Volume pekerjaan  :</v>
          </cell>
          <cell r="D1076">
            <v>1</v>
          </cell>
          <cell r="E1076" t="str">
            <v>M3</v>
          </cell>
        </row>
        <row r="1097">
          <cell r="T1097" t="str">
            <v xml:space="preserve">Analisa LI-242 </v>
          </cell>
        </row>
        <row r="1098">
          <cell r="A1098" t="str">
            <v>ITEM PEMBAYARAN NO.</v>
          </cell>
          <cell r="D1098" t="str">
            <v>:  2.4 (2)</v>
          </cell>
          <cell r="J1098" t="str">
            <v xml:space="preserve">Analisa LI-242 </v>
          </cell>
        </row>
        <row r="1099">
          <cell r="A1099" t="str">
            <v>JENIS PEKERJAAN</v>
          </cell>
          <cell r="D1099" t="str">
            <v>:  Anyaman Filter Plastik</v>
          </cell>
          <cell r="L1099" t="str">
            <v>FORMULIR STANDAR UNTUK</v>
          </cell>
        </row>
        <row r="1100">
          <cell r="A1100" t="str">
            <v>SATUAN PEMBAYARAN</v>
          </cell>
          <cell r="D1100" t="str">
            <v>:  M2</v>
          </cell>
          <cell r="J1100" t="str">
            <v xml:space="preserve">         URAIAN ANALISA HARGA SATUAN</v>
          </cell>
          <cell r="L1100" t="str">
            <v>PEREKAMAN ANALISA MASING-MASING HARGA SATUAN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>
        <row r="1">
          <cell r="A1" t="str">
            <v>ITEM PEMBAYARAN NO.</v>
          </cell>
          <cell r="D1" t="str">
            <v>:  3.1 (1)</v>
          </cell>
          <cell r="J1" t="str">
            <v>Analisa EI-311</v>
          </cell>
          <cell r="T1" t="str">
            <v>Analisa EI-311</v>
          </cell>
        </row>
        <row r="2">
          <cell r="A2" t="str">
            <v>JENIS PEKERJAAN</v>
          </cell>
          <cell r="D2" t="str">
            <v>:  Galian Biasa</v>
          </cell>
        </row>
        <row r="3">
          <cell r="A3" t="str">
            <v>SATUAN PEMBAYARAN</v>
          </cell>
          <cell r="D3" t="str">
            <v>:  M3</v>
          </cell>
          <cell r="H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 t="str">
            <v xml:space="preserve">                                                                                                            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Jalan   :  sedang / baik</v>
          </cell>
          <cell r="L12" t="str">
            <v>ITEM PEMBAYARAN NO.</v>
          </cell>
          <cell r="O12" t="str">
            <v>:  3.1 (1)</v>
          </cell>
          <cell r="R12" t="str">
            <v>PERKIRAAN VOL. PEK.</v>
          </cell>
          <cell r="T12" t="str">
            <v>:</v>
          </cell>
          <cell r="U12">
            <v>0</v>
          </cell>
        </row>
        <row r="13">
          <cell r="A13">
            <v>4</v>
          </cell>
          <cell r="C13" t="str">
            <v>Jam kerja efektif per-hari</v>
          </cell>
          <cell r="G13" t="str">
            <v>Tk</v>
          </cell>
          <cell r="H13">
            <v>7</v>
          </cell>
          <cell r="I13" t="str">
            <v>Jam</v>
          </cell>
          <cell r="L13" t="str">
            <v>JENIS PEKERJAAN</v>
          </cell>
          <cell r="O13" t="str">
            <v>:  Galian Biasa</v>
          </cell>
          <cell r="R13" t="str">
            <v>TOTAL HARGA (Rp.)</v>
          </cell>
          <cell r="T13" t="str">
            <v>:</v>
          </cell>
          <cell r="U13">
            <v>0</v>
          </cell>
        </row>
        <row r="14">
          <cell r="A14">
            <v>5</v>
          </cell>
          <cell r="C14" t="str">
            <v>Faktor pengembangan bahan</v>
          </cell>
          <cell r="G14" t="str">
            <v>Fk</v>
          </cell>
          <cell r="H14">
            <v>1.2</v>
          </cell>
          <cell r="I14" t="str">
            <v>-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 t="e">
            <v>#DIV/0!</v>
          </cell>
        </row>
        <row r="17">
          <cell r="A17" t="str">
            <v>II.</v>
          </cell>
          <cell r="C17" t="str">
            <v>URUTAN KERJA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1</v>
          </cell>
          <cell r="C18" t="str">
            <v>Tanah yang dipotong umumnya berada disisi jalan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>
            <v>2</v>
          </cell>
          <cell r="C19" t="str">
            <v>Penggalian dilakukan dengan menggunakan Excavator</v>
          </cell>
          <cell r="R19" t="str">
            <v>(Rp.)</v>
          </cell>
          <cell r="S19" t="str">
            <v>(Rp.)</v>
          </cell>
        </row>
        <row r="20">
          <cell r="A20">
            <v>3</v>
          </cell>
          <cell r="C20" t="str">
            <v>Selanjutnya Excavator menuangkan material hasil</v>
          </cell>
        </row>
        <row r="21">
          <cell r="C21" t="str">
            <v>galian kedalam Dump Truck</v>
          </cell>
        </row>
        <row r="22">
          <cell r="A22">
            <v>4</v>
          </cell>
          <cell r="C22" t="str">
            <v>Dump Truck membuang material hasil galian keluar</v>
          </cell>
          <cell r="L22" t="str">
            <v>A.</v>
          </cell>
          <cell r="N22" t="str">
            <v>TENAGA</v>
          </cell>
        </row>
        <row r="23">
          <cell r="C23" t="str">
            <v>lokasi jalan sejauh</v>
          </cell>
          <cell r="G23" t="str">
            <v>L</v>
          </cell>
          <cell r="H23">
            <v>5</v>
          </cell>
          <cell r="I23" t="str">
            <v>Km</v>
          </cell>
        </row>
        <row r="24"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1.6426998315844023E-2</v>
          </cell>
          <cell r="R24">
            <v>2857.14</v>
          </cell>
          <cell r="U24">
            <v>46.934233968130592</v>
          </cell>
        </row>
        <row r="25"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8.2134991579220114E-3</v>
          </cell>
          <cell r="R25">
            <v>3214.29</v>
          </cell>
          <cell r="U25">
            <v>26.400568208317143</v>
          </cell>
        </row>
        <row r="26">
          <cell r="A26" t="str">
            <v>III.</v>
          </cell>
          <cell r="C26" t="str">
            <v>PEMAKAIAN BAHAN, ALAT DAN TENAGA</v>
          </cell>
        </row>
        <row r="28">
          <cell r="A28" t="str">
            <v xml:space="preserve">   1.</v>
          </cell>
          <cell r="C28" t="str">
            <v>BAHAN</v>
          </cell>
          <cell r="Q28" t="str">
            <v xml:space="preserve">JUMLAH HARGA TENAGA   </v>
          </cell>
          <cell r="U28">
            <v>73.334802176447738</v>
          </cell>
        </row>
        <row r="29">
          <cell r="C29" t="str">
            <v>Tidak ada bahan yang diperlukan</v>
          </cell>
        </row>
        <row r="30">
          <cell r="L30" t="str">
            <v>B.</v>
          </cell>
          <cell r="N30" t="str">
            <v>BAHAN</v>
          </cell>
        </row>
        <row r="32">
          <cell r="A32" t="str">
            <v xml:space="preserve">   2.</v>
          </cell>
          <cell r="C32" t="str">
            <v>ALAT</v>
          </cell>
        </row>
        <row r="33">
          <cell r="A33" t="str">
            <v xml:space="preserve">   2.a.</v>
          </cell>
          <cell r="C33" t="str">
            <v>EXCAVATOR</v>
          </cell>
          <cell r="G33" t="str">
            <v>(E10)</v>
          </cell>
        </row>
        <row r="34">
          <cell r="C34" t="str">
            <v>Kapasitas Bucket</v>
          </cell>
          <cell r="G34" t="str">
            <v>V</v>
          </cell>
          <cell r="H34">
            <v>0.93</v>
          </cell>
          <cell r="I34" t="str">
            <v>M3</v>
          </cell>
        </row>
        <row r="35">
          <cell r="C35" t="str">
            <v>Faktor Bucket</v>
          </cell>
          <cell r="G35" t="str">
            <v>Fb</v>
          </cell>
          <cell r="H35">
            <v>1</v>
          </cell>
          <cell r="I35" t="str">
            <v>-</v>
          </cell>
        </row>
        <row r="36">
          <cell r="C36" t="str">
            <v>Faktor  Efisiensi alat</v>
          </cell>
          <cell r="G36" t="str">
            <v>Fa</v>
          </cell>
          <cell r="H36">
            <v>0.83</v>
          </cell>
          <cell r="I36" t="str">
            <v>-</v>
          </cell>
        </row>
        <row r="38">
          <cell r="C38" t="str">
            <v>Waktu siklus</v>
          </cell>
          <cell r="G38" t="str">
            <v>Ts1</v>
          </cell>
          <cell r="I38" t="str">
            <v>menit</v>
          </cell>
          <cell r="Q38" t="str">
            <v xml:space="preserve">JUMLAH HARGA BAHAN   </v>
          </cell>
          <cell r="U38">
            <v>0</v>
          </cell>
        </row>
        <row r="39">
          <cell r="C39" t="str">
            <v>- Menggali / memuat</v>
          </cell>
          <cell r="G39" t="str">
            <v>T1</v>
          </cell>
          <cell r="H39">
            <v>0.317</v>
          </cell>
          <cell r="I39" t="str">
            <v>menit</v>
          </cell>
        </row>
        <row r="40">
          <cell r="C40" t="str">
            <v>- Lain-lain</v>
          </cell>
          <cell r="G40" t="str">
            <v>T2</v>
          </cell>
          <cell r="I40" t="str">
            <v>menit</v>
          </cell>
        </row>
        <row r="41">
          <cell r="G41" t="str">
            <v>Ts1</v>
          </cell>
          <cell r="H41">
            <v>0.317</v>
          </cell>
          <cell r="I41" t="str">
            <v>menit</v>
          </cell>
          <cell r="L41" t="str">
            <v>C.</v>
          </cell>
          <cell r="N41" t="str">
            <v>PERALATAN</v>
          </cell>
        </row>
        <row r="43">
          <cell r="C43" t="str">
            <v>Kap. Prod. / jam =</v>
          </cell>
          <cell r="D43" t="str">
            <v>V  x Fb x Fa x 60</v>
          </cell>
          <cell r="G43" t="str">
            <v>Q1</v>
          </cell>
          <cell r="H43">
            <v>121.75078864353311</v>
          </cell>
          <cell r="I43" t="str">
            <v>M3/Jam</v>
          </cell>
          <cell r="L43" t="str">
            <v>1.</v>
          </cell>
          <cell r="N43" t="str">
            <v>Excavator</v>
          </cell>
          <cell r="O43" t="str">
            <v>(E10)</v>
          </cell>
          <cell r="P43" t="str">
            <v>Jam</v>
          </cell>
          <cell r="Q43">
            <v>8.2134991579220114E-3</v>
          </cell>
          <cell r="R43">
            <v>238185.05650827778</v>
          </cell>
          <cell r="U43">
            <v>1956.3327610603462</v>
          </cell>
        </row>
        <row r="44">
          <cell r="D44" t="str">
            <v>Ts1 x Fh</v>
          </cell>
          <cell r="L44" t="str">
            <v>2.</v>
          </cell>
          <cell r="N44" t="str">
            <v>Dump Truck</v>
          </cell>
          <cell r="O44" t="str">
            <v>(E08)</v>
          </cell>
          <cell r="P44" t="str">
            <v>Jam</v>
          </cell>
          <cell r="Q44">
            <v>5.7658071071694475E-2</v>
          </cell>
          <cell r="R44">
            <v>153645.58193291764</v>
          </cell>
          <cell r="U44">
            <v>8858.9078829400223</v>
          </cell>
        </row>
        <row r="45">
          <cell r="L45" t="str">
            <v>3.</v>
          </cell>
          <cell r="N45" t="str">
            <v>Alat Bantu</v>
          </cell>
          <cell r="P45" t="str">
            <v>Ls</v>
          </cell>
          <cell r="Q45">
            <v>1</v>
          </cell>
          <cell r="R45">
            <v>75</v>
          </cell>
          <cell r="U45">
            <v>75</v>
          </cell>
        </row>
        <row r="46">
          <cell r="C46" t="str">
            <v>Koefisien Alat / M3</v>
          </cell>
          <cell r="D46" t="str">
            <v xml:space="preserve"> =  1  :  Q1</v>
          </cell>
          <cell r="G46" t="str">
            <v>(E10)</v>
          </cell>
          <cell r="H46">
            <v>8.2134991579220114E-3</v>
          </cell>
          <cell r="I46" t="str">
            <v>Jam</v>
          </cell>
        </row>
        <row r="50">
          <cell r="A50" t="str">
            <v xml:space="preserve">   2.b.</v>
          </cell>
          <cell r="C50" t="str">
            <v>DUMP TRUCK</v>
          </cell>
          <cell r="G50" t="str">
            <v>(E08)</v>
          </cell>
          <cell r="Q50" t="str">
            <v xml:space="preserve">JUMLAH HARGA PERALATAN   </v>
          </cell>
          <cell r="U50">
            <v>10890.240644000369</v>
          </cell>
        </row>
        <row r="51">
          <cell r="C51" t="str">
            <v>Kapasitas bak</v>
          </cell>
          <cell r="G51" t="str">
            <v>V</v>
          </cell>
          <cell r="H51">
            <v>6.666666666666667</v>
          </cell>
          <cell r="I51" t="str">
            <v>M3</v>
          </cell>
        </row>
        <row r="52">
          <cell r="C52" t="str">
            <v>Faktor  efisiensi alat</v>
          </cell>
          <cell r="G52" t="str">
            <v>Fa</v>
          </cell>
          <cell r="H52">
            <v>0.83</v>
          </cell>
          <cell r="I52" t="str">
            <v>-</v>
          </cell>
          <cell r="L52" t="str">
            <v>D.</v>
          </cell>
          <cell r="N52" t="str">
            <v>JUMLAH HARGA TENAGA, BAHAN DAN PERALATAN  ( A + B + C )</v>
          </cell>
          <cell r="U52">
            <v>10963.575446176816</v>
          </cell>
        </row>
        <row r="53">
          <cell r="C53" t="str">
            <v>Kecepatan rata-rata bermuatan</v>
          </cell>
          <cell r="G53" t="str">
            <v>v1</v>
          </cell>
          <cell r="H53">
            <v>45</v>
          </cell>
          <cell r="I53" t="str">
            <v>KM/Jam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1096.3575446176817</v>
          </cell>
        </row>
        <row r="54">
          <cell r="C54" t="str">
            <v>Kecepatan rata-rata kosong</v>
          </cell>
          <cell r="G54" t="str">
            <v>v2</v>
          </cell>
          <cell r="H54">
            <v>60</v>
          </cell>
          <cell r="I54" t="str">
            <v>KM/Jam</v>
          </cell>
          <cell r="L54" t="str">
            <v>F.</v>
          </cell>
          <cell r="N54" t="str">
            <v>HARGA SATUAN PEKERJAAN  ( D + E )</v>
          </cell>
          <cell r="U54">
            <v>12059.932990794498</v>
          </cell>
        </row>
        <row r="55">
          <cell r="C55" t="str">
            <v>Waktu  siklus</v>
          </cell>
          <cell r="G55" t="str">
            <v>Ts2</v>
          </cell>
          <cell r="I55" t="str">
            <v>menit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- Waktu tempuh isi</v>
          </cell>
          <cell r="E56" t="str">
            <v>=   (L  :  v1)  x  60</v>
          </cell>
          <cell r="G56" t="str">
            <v>T1</v>
          </cell>
          <cell r="H56">
            <v>6.6666666666666661</v>
          </cell>
          <cell r="I56" t="str">
            <v>menit</v>
          </cell>
          <cell r="N56" t="str">
            <v>berat untuk bahan-bahan.</v>
          </cell>
        </row>
        <row r="57">
          <cell r="C57" t="str">
            <v>- Waktu tempuh kosong</v>
          </cell>
          <cell r="E57" t="str">
            <v>=   (L  :  v2)  x  60</v>
          </cell>
          <cell r="G57" t="str">
            <v>T2</v>
          </cell>
          <cell r="H57">
            <v>5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Muat</v>
          </cell>
          <cell r="E58" t="str">
            <v>=   (V  :  Q1) x 60</v>
          </cell>
          <cell r="G58" t="str">
            <v>T3</v>
          </cell>
          <cell r="H58">
            <v>3.2853996631688047</v>
          </cell>
          <cell r="I58" t="str">
            <v>menit</v>
          </cell>
          <cell r="N58" t="str">
            <v>mata pembayaran.</v>
          </cell>
        </row>
        <row r="59">
          <cell r="C59" t="str">
            <v>- Lain-lain</v>
          </cell>
          <cell r="G59" t="str">
            <v>T4</v>
          </cell>
          <cell r="H59">
            <v>1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G60" t="str">
            <v>Ts2</v>
          </cell>
          <cell r="H60">
            <v>15.952066329835471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J61" t="str">
            <v>Berlanjut ke halaman berikut</v>
          </cell>
          <cell r="N61" t="str">
            <v>yang dibayar dari kontrak) dan biaya-biaya lainnya.</v>
          </cell>
        </row>
        <row r="62">
          <cell r="A62" t="str">
            <v>ITEM PEMBAYARAN NO.</v>
          </cell>
          <cell r="D62" t="str">
            <v>:  3.1 (1)</v>
          </cell>
          <cell r="J62" t="str">
            <v>Analisa EI-311</v>
          </cell>
        </row>
        <row r="63">
          <cell r="A63" t="str">
            <v>JENIS PEKERJAAN</v>
          </cell>
          <cell r="D63" t="str">
            <v>:  Galian Biasa</v>
          </cell>
        </row>
        <row r="64">
          <cell r="A64" t="str">
            <v>SATUAN PEMBAYARAN</v>
          </cell>
          <cell r="D64" t="str">
            <v>:  M3</v>
          </cell>
          <cell r="H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>Kapasitas Produksi / Jam   =</v>
          </cell>
          <cell r="E70" t="str">
            <v>V x Fa x 60</v>
          </cell>
          <cell r="G70" t="str">
            <v>Q2</v>
          </cell>
          <cell r="H70">
            <v>17.343625643607776</v>
          </cell>
          <cell r="I70" t="str">
            <v xml:space="preserve">M3/Jam </v>
          </cell>
        </row>
        <row r="71">
          <cell r="E71" t="str">
            <v xml:space="preserve">    Fk x Ts2</v>
          </cell>
        </row>
        <row r="74">
          <cell r="C74" t="str">
            <v>Koefisien Alat / M3</v>
          </cell>
          <cell r="D74" t="str">
            <v xml:space="preserve"> =  1  :  Q2</v>
          </cell>
          <cell r="G74" t="str">
            <v>(E08)</v>
          </cell>
          <cell r="H74">
            <v>5.7658071071694475E-2</v>
          </cell>
          <cell r="I74" t="str">
            <v>Jam</v>
          </cell>
        </row>
        <row r="77">
          <cell r="A77" t="str">
            <v>2.d.</v>
          </cell>
          <cell r="C77" t="str">
            <v>ALAT  BANTU</v>
          </cell>
        </row>
        <row r="78">
          <cell r="C78" t="str">
            <v>Diperlukan alat-alat bantu kecil</v>
          </cell>
          <cell r="J78" t="str">
            <v>Lump Sump</v>
          </cell>
        </row>
        <row r="79">
          <cell r="C79" t="str">
            <v>- Sekop</v>
          </cell>
        </row>
        <row r="80">
          <cell r="C80" t="str">
            <v>- Keranjang</v>
          </cell>
        </row>
        <row r="82">
          <cell r="A82" t="str">
            <v xml:space="preserve">   3.</v>
          </cell>
          <cell r="C82" t="str">
            <v>TENAGA</v>
          </cell>
        </row>
        <row r="83">
          <cell r="C83" t="str">
            <v>Produksi menentukan : EXCAVATOR</v>
          </cell>
          <cell r="G83" t="str">
            <v>Q1</v>
          </cell>
          <cell r="H83">
            <v>121.75078864353311</v>
          </cell>
          <cell r="I83" t="str">
            <v>M3/Jam</v>
          </cell>
        </row>
        <row r="84">
          <cell r="C84" t="str">
            <v>Produksi Galian / hari  =  Tk x Q1</v>
          </cell>
          <cell r="G84" t="str">
            <v>Qt</v>
          </cell>
          <cell r="H84">
            <v>852.25552050473175</v>
          </cell>
          <cell r="I84" t="str">
            <v>M3</v>
          </cell>
        </row>
        <row r="85">
          <cell r="C85" t="str">
            <v>Kebutuhan tenaga :</v>
          </cell>
        </row>
        <row r="86">
          <cell r="D86" t="str">
            <v>- Pekerja</v>
          </cell>
          <cell r="G86" t="str">
            <v>P</v>
          </cell>
          <cell r="H86">
            <v>2</v>
          </cell>
          <cell r="I86" t="str">
            <v>orang</v>
          </cell>
        </row>
        <row r="87">
          <cell r="D87" t="str">
            <v>- Mandor</v>
          </cell>
          <cell r="G87" t="str">
            <v>M</v>
          </cell>
          <cell r="H87">
            <v>1</v>
          </cell>
          <cell r="I87" t="str">
            <v>orang</v>
          </cell>
        </row>
        <row r="89">
          <cell r="C89" t="str">
            <v>Koefisien tenaga / M3   :</v>
          </cell>
        </row>
        <row r="90">
          <cell r="D90" t="str">
            <v>- Pekerja</v>
          </cell>
          <cell r="E90" t="str">
            <v>= (Tk x P) : Qt</v>
          </cell>
          <cell r="G90" t="str">
            <v>(L01)</v>
          </cell>
          <cell r="H90">
            <v>1.6426998315844023E-2</v>
          </cell>
          <cell r="I90" t="str">
            <v>Jam</v>
          </cell>
        </row>
        <row r="91">
          <cell r="D91" t="str">
            <v>- Mandor</v>
          </cell>
          <cell r="E91" t="str">
            <v>= (Tk x M) : Qt</v>
          </cell>
          <cell r="G91" t="str">
            <v>(L03)</v>
          </cell>
          <cell r="H91">
            <v>8.2134991579220114E-3</v>
          </cell>
          <cell r="I91" t="str">
            <v>Jam</v>
          </cell>
        </row>
        <row r="93">
          <cell r="A93" t="str">
            <v>4.</v>
          </cell>
          <cell r="C93" t="str">
            <v>HARGA DASAR SATUAN UPAH, BAHAN DAN ALAT</v>
          </cell>
        </row>
        <row r="94">
          <cell r="C94" t="str">
            <v>Lihat lampiran.</v>
          </cell>
        </row>
        <row r="96">
          <cell r="A96" t="str">
            <v>5.</v>
          </cell>
          <cell r="C96" t="str">
            <v>ANALISA HARGA SATUAN PEKERJAAN</v>
          </cell>
        </row>
        <row r="97">
          <cell r="C97" t="str">
            <v>Lihat perhitungan dalam FORMULIR STANDAR UNTUK</v>
          </cell>
        </row>
        <row r="98">
          <cell r="C98" t="str">
            <v>PEREKEMAN ANALISA MASING-MASING HARGA</v>
          </cell>
        </row>
        <row r="99">
          <cell r="C99" t="str">
            <v>SATUAN.</v>
          </cell>
        </row>
        <row r="100">
          <cell r="C100" t="str">
            <v>Didapat Harga Satuan Pekerjaan :</v>
          </cell>
        </row>
        <row r="102">
          <cell r="C102" t="str">
            <v xml:space="preserve">Rp.  </v>
          </cell>
          <cell r="D102">
            <v>12059.932990794498</v>
          </cell>
          <cell r="E102" t="str">
            <v xml:space="preserve"> / M3</v>
          </cell>
        </row>
        <row r="105">
          <cell r="A105" t="str">
            <v>6.</v>
          </cell>
          <cell r="C105" t="str">
            <v>WAKTU PELAKSANAAN YANG DIPERLUKAN</v>
          </cell>
        </row>
        <row r="106">
          <cell r="C106" t="str">
            <v>Masa Pelaksanaan :</v>
          </cell>
          <cell r="D106" t="str">
            <v>. . . . . . . . . . . .</v>
          </cell>
          <cell r="E106" t="str">
            <v>bulan</v>
          </cell>
        </row>
        <row r="108">
          <cell r="A108" t="str">
            <v>7.</v>
          </cell>
          <cell r="C108" t="str">
            <v>VOLUME PEKERJAAN YANG DIPERLUKAN</v>
          </cell>
        </row>
        <row r="109">
          <cell r="C109" t="str">
            <v>Volume pekerjaan  :</v>
          </cell>
          <cell r="D109">
            <v>0</v>
          </cell>
          <cell r="E109" t="str">
            <v>M3</v>
          </cell>
        </row>
        <row r="121">
          <cell r="A121" t="str">
            <v>ITEM PEMBAYARAN NO.</v>
          </cell>
          <cell r="D121" t="str">
            <v>:  3.1 (2)</v>
          </cell>
          <cell r="J121" t="str">
            <v>Analisa EI-312</v>
          </cell>
          <cell r="T121" t="str">
            <v>Analisa EI-312</v>
          </cell>
        </row>
        <row r="122">
          <cell r="A122" t="str">
            <v>JENIS PEKERJAAN</v>
          </cell>
          <cell r="D122" t="str">
            <v>:  Galian Batu</v>
          </cell>
        </row>
        <row r="123">
          <cell r="A123" t="str">
            <v>SATUAN PEMBAYARAN</v>
          </cell>
          <cell r="D123" t="str">
            <v>:  M3</v>
          </cell>
          <cell r="H123" t="str">
            <v xml:space="preserve">         URAIAN ANALISA HARGA SATUAN</v>
          </cell>
          <cell r="L123" t="str">
            <v>FORMULIR STANDAR UNTUK</v>
          </cell>
        </row>
        <row r="124">
          <cell r="L124" t="str">
            <v>PEREKAMAN ANALISA MASING-MASING HARGA SATUAN</v>
          </cell>
        </row>
        <row r="125">
          <cell r="L125" t="str">
            <v xml:space="preserve">                                                                                                            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8">
          <cell r="L128" t="str">
            <v>PROYEK</v>
          </cell>
          <cell r="O128" t="str">
            <v>:</v>
          </cell>
        </row>
        <row r="129">
          <cell r="A129" t="str">
            <v>I.</v>
          </cell>
          <cell r="C129" t="str">
            <v>ASUMSI</v>
          </cell>
          <cell r="L129" t="str">
            <v>No. PAKET KONTRAK</v>
          </cell>
          <cell r="O129" t="str">
            <v>:</v>
          </cell>
        </row>
        <row r="130">
          <cell r="A130">
            <v>1</v>
          </cell>
          <cell r="C130" t="str">
            <v>Pekerjaan dilakukan secara manual</v>
          </cell>
          <cell r="L130" t="str">
            <v>NAMA PAKET</v>
          </cell>
          <cell r="O130" t="str">
            <v>:</v>
          </cell>
        </row>
        <row r="131">
          <cell r="A131">
            <v>2</v>
          </cell>
          <cell r="C131" t="str">
            <v>Lokasi pekerjaan : sepanjang jalan</v>
          </cell>
          <cell r="L131" t="str">
            <v>PROP / KAB / KODYA</v>
          </cell>
          <cell r="O131" t="str">
            <v>:</v>
          </cell>
        </row>
        <row r="132">
          <cell r="A132">
            <v>3</v>
          </cell>
          <cell r="C132" t="str">
            <v>Kondisi Jalan   :  sedang / baik</v>
          </cell>
          <cell r="L132" t="str">
            <v>ITEM PEMBAYARAN NO.</v>
          </cell>
          <cell r="O132" t="str">
            <v>:  3.1 (2)</v>
          </cell>
          <cell r="R132" t="str">
            <v>PERKIRAAN VOL. PEK.</v>
          </cell>
          <cell r="T132" t="str">
            <v>:</v>
          </cell>
          <cell r="U132">
            <v>0</v>
          </cell>
        </row>
        <row r="133">
          <cell r="A133">
            <v>4</v>
          </cell>
          <cell r="C133" t="str">
            <v>Jam kerja efektif per-hari</v>
          </cell>
          <cell r="G133" t="str">
            <v>Tk</v>
          </cell>
          <cell r="H133">
            <v>7</v>
          </cell>
          <cell r="I133" t="str">
            <v>Jam</v>
          </cell>
          <cell r="L133" t="str">
            <v>JENIS PEKERJAAN</v>
          </cell>
          <cell r="O133" t="str">
            <v>:  Galian Batu</v>
          </cell>
          <cell r="R133" t="str">
            <v>TOTAL HARGA (Rp.)</v>
          </cell>
          <cell r="T133" t="str">
            <v>:</v>
          </cell>
          <cell r="U133">
            <v>0</v>
          </cell>
        </row>
        <row r="134">
          <cell r="A134">
            <v>5</v>
          </cell>
          <cell r="C134" t="str">
            <v>Faktor pengembangan bahan</v>
          </cell>
          <cell r="G134" t="str">
            <v>Fk</v>
          </cell>
          <cell r="H134">
            <v>1.2</v>
          </cell>
          <cell r="I134" t="str">
            <v>-</v>
          </cell>
          <cell r="L134" t="str">
            <v>SATUAN PEMBAYARAN</v>
          </cell>
          <cell r="O134" t="str">
            <v>:  M3</v>
          </cell>
          <cell r="R134" t="str">
            <v>% THD. BIAYA PROYEK</v>
          </cell>
          <cell r="T134" t="str">
            <v>:</v>
          </cell>
          <cell r="U134" t="e">
            <v>#DIV/0!</v>
          </cell>
        </row>
        <row r="137">
          <cell r="A137" t="str">
            <v>II.</v>
          </cell>
          <cell r="C137" t="str">
            <v>URUTAN KERJA</v>
          </cell>
          <cell r="Q137" t="str">
            <v>PERKIRAAN</v>
          </cell>
          <cell r="R137" t="str">
            <v>HARGA</v>
          </cell>
          <cell r="S137" t="str">
            <v>JUMLAH</v>
          </cell>
        </row>
        <row r="138">
          <cell r="A138">
            <v>1</v>
          </cell>
          <cell r="C138" t="str">
            <v>Batu yg dipotong umumnya berada disisi jalan</v>
          </cell>
          <cell r="L138" t="str">
            <v>NO.</v>
          </cell>
          <cell r="N138" t="str">
            <v>KOMPONEN</v>
          </cell>
          <cell r="P138" t="str">
            <v>SATUAN</v>
          </cell>
          <cell r="Q138" t="str">
            <v>KUANTITAS</v>
          </cell>
          <cell r="R138" t="str">
            <v>SATUAN</v>
          </cell>
          <cell r="S138" t="str">
            <v>HARGA</v>
          </cell>
        </row>
        <row r="139">
          <cell r="A139">
            <v>2</v>
          </cell>
          <cell r="C139" t="str">
            <v>Penggalian dilakukan dengan Excavator, Compresor</v>
          </cell>
          <cell r="R139" t="str">
            <v>(Rp.)</v>
          </cell>
          <cell r="S139" t="str">
            <v>(Rp.)</v>
          </cell>
        </row>
        <row r="140">
          <cell r="C140" t="str">
            <v>dan Jack Hammer, dimuat ke dlm Truk dengan Loader.</v>
          </cell>
        </row>
        <row r="141">
          <cell r="A141">
            <v>3</v>
          </cell>
          <cell r="C141" t="str">
            <v>Dump Truck membuang material hasil galian keluar</v>
          </cell>
        </row>
        <row r="142">
          <cell r="C142" t="str">
            <v>lokasi jalan sejauh :</v>
          </cell>
          <cell r="G142" t="str">
            <v>L</v>
          </cell>
          <cell r="H142">
            <v>5</v>
          </cell>
          <cell r="I142" t="str">
            <v>Km</v>
          </cell>
          <cell r="L142" t="str">
            <v>A.</v>
          </cell>
          <cell r="N142" t="str">
            <v>TENAGA</v>
          </cell>
        </row>
        <row r="144">
          <cell r="L144" t="str">
            <v>1.</v>
          </cell>
          <cell r="N144" t="str">
            <v>Pekerja</v>
          </cell>
          <cell r="O144" t="str">
            <v>(L01)</v>
          </cell>
          <cell r="P144" t="str">
            <v>Jam</v>
          </cell>
          <cell r="Q144">
            <v>1</v>
          </cell>
          <cell r="R144">
            <v>2857.14</v>
          </cell>
          <cell r="U144">
            <v>2857.14</v>
          </cell>
        </row>
        <row r="145">
          <cell r="L145" t="str">
            <v>2.</v>
          </cell>
          <cell r="N145" t="str">
            <v>Mandor</v>
          </cell>
          <cell r="O145" t="str">
            <v>(L03)</v>
          </cell>
          <cell r="P145" t="str">
            <v>Jam</v>
          </cell>
          <cell r="Q145">
            <v>0.125</v>
          </cell>
          <cell r="R145">
            <v>3214.29</v>
          </cell>
          <cell r="U145">
            <v>401.78625</v>
          </cell>
        </row>
        <row r="146">
          <cell r="A146" t="str">
            <v>III.</v>
          </cell>
          <cell r="C146" t="str">
            <v>PEMAKAIAN BAHAN, ALAT DAN TENAGA</v>
          </cell>
        </row>
        <row r="148">
          <cell r="A148" t="str">
            <v xml:space="preserve">   1.</v>
          </cell>
          <cell r="C148" t="str">
            <v>BAHAN</v>
          </cell>
          <cell r="Q148" t="str">
            <v xml:space="preserve">JUMLAH HARGA TENAGA   </v>
          </cell>
          <cell r="U148">
            <v>3258.92625</v>
          </cell>
        </row>
        <row r="149">
          <cell r="C149" t="str">
            <v>Tidak ada bahan yang diperlukan</v>
          </cell>
        </row>
        <row r="150">
          <cell r="L150" t="str">
            <v>B.</v>
          </cell>
          <cell r="N150" t="str">
            <v>BAHAN</v>
          </cell>
        </row>
        <row r="152">
          <cell r="A152" t="str">
            <v xml:space="preserve">   2.</v>
          </cell>
          <cell r="C152" t="str">
            <v>ALAT</v>
          </cell>
        </row>
        <row r="153">
          <cell r="A153" t="str">
            <v xml:space="preserve">   2.a.</v>
          </cell>
          <cell r="C153" t="str">
            <v>COMPRESSOR, EXCAVATOR, JACK HAMMER &amp; LOADER</v>
          </cell>
          <cell r="J153" t="str">
            <v xml:space="preserve"> (E05/26/10/15)</v>
          </cell>
        </row>
        <row r="154">
          <cell r="C154" t="str">
            <v>Produksi per jam</v>
          </cell>
          <cell r="G154" t="str">
            <v>Q1</v>
          </cell>
          <cell r="H154">
            <v>8</v>
          </cell>
          <cell r="I154" t="str">
            <v>M3 / Jam</v>
          </cell>
        </row>
        <row r="156">
          <cell r="C156" t="str">
            <v>Koefisien Alat / m3</v>
          </cell>
          <cell r="D156" t="str">
            <v xml:space="preserve"> =  1  :  Q1</v>
          </cell>
          <cell r="G156" t="str">
            <v>(E05/26)</v>
          </cell>
          <cell r="H156">
            <v>0.125</v>
          </cell>
          <cell r="I156" t="str">
            <v>Jam</v>
          </cell>
        </row>
        <row r="158">
          <cell r="Q158" t="str">
            <v xml:space="preserve">JUMLAH HARGA BAHAN   </v>
          </cell>
          <cell r="U158">
            <v>0</v>
          </cell>
        </row>
        <row r="159">
          <cell r="A159" t="str">
            <v xml:space="preserve">   2.b.</v>
          </cell>
          <cell r="C159" t="str">
            <v>DUMP TRUCK</v>
          </cell>
          <cell r="G159" t="str">
            <v>(E08)</v>
          </cell>
        </row>
        <row r="160">
          <cell r="C160" t="str">
            <v>Kapasitas bak</v>
          </cell>
          <cell r="G160" t="str">
            <v>V</v>
          </cell>
          <cell r="H160">
            <v>4</v>
          </cell>
          <cell r="I160" t="str">
            <v>M3</v>
          </cell>
          <cell r="L160" t="str">
            <v>C.</v>
          </cell>
          <cell r="N160" t="str">
            <v>PERALATAN</v>
          </cell>
        </row>
        <row r="161">
          <cell r="C161" t="str">
            <v>Faktor  efisiensi alat</v>
          </cell>
          <cell r="G161" t="str">
            <v>Fa</v>
          </cell>
          <cell r="H161">
            <v>0.83</v>
          </cell>
          <cell r="I161" t="str">
            <v>-</v>
          </cell>
          <cell r="L161" t="str">
            <v>1.</v>
          </cell>
          <cell r="N161" t="str">
            <v>Compressor</v>
          </cell>
          <cell r="O161" t="str">
            <v>(E05)</v>
          </cell>
          <cell r="P161" t="str">
            <v>Jam</v>
          </cell>
          <cell r="Q161">
            <v>0.125</v>
          </cell>
          <cell r="R161">
            <v>53840.365312835944</v>
          </cell>
          <cell r="U161">
            <v>6730.045664104493</v>
          </cell>
        </row>
        <row r="162">
          <cell r="C162" t="str">
            <v>Kecepatan rata-rata bermuatan</v>
          </cell>
          <cell r="G162" t="str">
            <v>v1</v>
          </cell>
          <cell r="H162">
            <v>45</v>
          </cell>
          <cell r="I162" t="str">
            <v>KM/Jam</v>
          </cell>
          <cell r="L162" t="str">
            <v>2.</v>
          </cell>
          <cell r="N162" t="str">
            <v>Jack Hammer</v>
          </cell>
          <cell r="O162" t="str">
            <v>(E26)</v>
          </cell>
          <cell r="P162" t="str">
            <v>Jam</v>
          </cell>
          <cell r="Q162">
            <v>0.125</v>
          </cell>
          <cell r="R162">
            <v>16417.550326811437</v>
          </cell>
          <cell r="U162">
            <v>2052.1937908514296</v>
          </cell>
        </row>
        <row r="163">
          <cell r="C163" t="str">
            <v>Kecepatan rata-rata kosong</v>
          </cell>
          <cell r="G163" t="str">
            <v>v2</v>
          </cell>
          <cell r="H163">
            <v>60</v>
          </cell>
          <cell r="I163" t="str">
            <v>KM/Jam</v>
          </cell>
          <cell r="L163" t="str">
            <v>3.</v>
          </cell>
          <cell r="N163" t="str">
            <v>Wheel Loader</v>
          </cell>
          <cell r="O163" t="str">
            <v>(E15)</v>
          </cell>
          <cell r="P163" t="str">
            <v>Jam</v>
          </cell>
          <cell r="Q163">
            <v>0.125</v>
          </cell>
          <cell r="R163">
            <v>163808.13869490434</v>
          </cell>
          <cell r="U163">
            <v>20476.017336863042</v>
          </cell>
        </row>
        <row r="164">
          <cell r="C164" t="str">
            <v>Waktu  siklus</v>
          </cell>
          <cell r="G164" t="str">
            <v>Ts1</v>
          </cell>
          <cell r="I164" t="str">
            <v>menit</v>
          </cell>
          <cell r="L164" t="str">
            <v>4.</v>
          </cell>
          <cell r="N164" t="str">
            <v>Excavator</v>
          </cell>
          <cell r="O164" t="str">
            <v>(E10)</v>
          </cell>
          <cell r="P164" t="str">
            <v>Jam</v>
          </cell>
          <cell r="Q164">
            <v>0.125</v>
          </cell>
          <cell r="R164">
            <v>238185.05650827778</v>
          </cell>
          <cell r="U164">
            <v>29773.132063534722</v>
          </cell>
        </row>
        <row r="165">
          <cell r="C165" t="str">
            <v>- Waktu tempuh isi</v>
          </cell>
          <cell r="E165" t="str">
            <v>=   (L  :  v1)  x  60</v>
          </cell>
          <cell r="G165" t="str">
            <v>T1</v>
          </cell>
          <cell r="H165">
            <v>6.6666666666666661</v>
          </cell>
          <cell r="I165" t="str">
            <v>menit</v>
          </cell>
          <cell r="L165">
            <v>5</v>
          </cell>
          <cell r="N165" t="str">
            <v>Dump Truck</v>
          </cell>
          <cell r="O165" t="str">
            <v>(E08)</v>
          </cell>
          <cell r="P165" t="str">
            <v>Jam</v>
          </cell>
          <cell r="Q165">
            <v>0.26305220883534136</v>
          </cell>
          <cell r="R165">
            <v>153645.58193291764</v>
          </cell>
          <cell r="U165">
            <v>40416.809705245403</v>
          </cell>
        </row>
        <row r="166">
          <cell r="C166" t="str">
            <v>- Waktu tempuh kosong</v>
          </cell>
          <cell r="E166" t="str">
            <v>=   (L  :  v2)  x  60</v>
          </cell>
          <cell r="G166" t="str">
            <v>T2</v>
          </cell>
          <cell r="H166">
            <v>5</v>
          </cell>
          <cell r="I166" t="str">
            <v>menit</v>
          </cell>
          <cell r="N166" t="str">
            <v>Alat  bantu</v>
          </cell>
          <cell r="P166" t="str">
            <v>Ls</v>
          </cell>
          <cell r="Q166">
            <v>1</v>
          </cell>
          <cell r="R166">
            <v>225</v>
          </cell>
          <cell r="U166">
            <v>225</v>
          </cell>
        </row>
        <row r="167">
          <cell r="C167" t="str">
            <v>- Muat</v>
          </cell>
          <cell r="E167" t="str">
            <v>=   (V  :  Q1) x 60</v>
          </cell>
          <cell r="G167" t="str">
            <v>T3</v>
          </cell>
          <cell r="H167">
            <v>30</v>
          </cell>
          <cell r="I167" t="str">
            <v>menit</v>
          </cell>
        </row>
        <row r="168">
          <cell r="C168" t="str">
            <v>- Lain-lain</v>
          </cell>
          <cell r="G168" t="str">
            <v>T4</v>
          </cell>
          <cell r="H168">
            <v>2</v>
          </cell>
          <cell r="I168" t="str">
            <v>menit</v>
          </cell>
        </row>
        <row r="169">
          <cell r="G169" t="str">
            <v>Ts1</v>
          </cell>
          <cell r="H169">
            <v>43.666666666666664</v>
          </cell>
          <cell r="I169" t="str">
            <v>menit</v>
          </cell>
        </row>
        <row r="170">
          <cell r="Q170" t="str">
            <v xml:space="preserve">JUMLAH HARGA PERALATAN   </v>
          </cell>
          <cell r="U170">
            <v>99673.198560599092</v>
          </cell>
        </row>
        <row r="172">
          <cell r="C172" t="str">
            <v>Kapasitas Produksi / Jam   =</v>
          </cell>
          <cell r="E172" t="str">
            <v>V x Fa x 60</v>
          </cell>
          <cell r="G172" t="str">
            <v>Q2</v>
          </cell>
          <cell r="H172">
            <v>3.8015267175572518</v>
          </cell>
          <cell r="I172" t="str">
            <v xml:space="preserve">M3 / Jam </v>
          </cell>
          <cell r="L172" t="str">
            <v>D.</v>
          </cell>
          <cell r="N172" t="str">
            <v>JUMLAH HARGA TENAGA, BAHAN DAN PERALATAN  ( A + B + C )</v>
          </cell>
          <cell r="U172">
            <v>102932.1248105991</v>
          </cell>
        </row>
        <row r="173">
          <cell r="E173" t="str">
            <v xml:space="preserve">    Fk x Ts1</v>
          </cell>
          <cell r="L173" t="str">
            <v>E.</v>
          </cell>
          <cell r="N173" t="str">
            <v>OVERHEAD &amp; PROFIT</v>
          </cell>
          <cell r="P173">
            <v>10</v>
          </cell>
          <cell r="Q173" t="str">
            <v>%  x  D</v>
          </cell>
          <cell r="U173">
            <v>10293.212481059911</v>
          </cell>
        </row>
        <row r="174">
          <cell r="L174" t="str">
            <v>F.</v>
          </cell>
          <cell r="N174" t="str">
            <v>HARGA SATUAN PEKERJAAN  ( D + E )</v>
          </cell>
          <cell r="U174">
            <v>113225.337291659</v>
          </cell>
        </row>
        <row r="175">
          <cell r="L175" t="str">
            <v>Note: 1</v>
          </cell>
          <cell r="N175" t="str">
            <v>SATUAN dapat berdasarkan atas jam operasi untuk Tenaga Kerja dan Peralatan, volume dan/atau ukuran</v>
          </cell>
        </row>
        <row r="176">
          <cell r="C176" t="str">
            <v>Koefisien Alat / m3</v>
          </cell>
          <cell r="D176" t="str">
            <v xml:space="preserve"> =  1  :  Q2</v>
          </cell>
          <cell r="G176" t="str">
            <v>(E08)</v>
          </cell>
          <cell r="H176">
            <v>0.26305220883534136</v>
          </cell>
          <cell r="I176" t="str">
            <v>Jam</v>
          </cell>
          <cell r="N176" t="str">
            <v>berat untuk bahan-bahan.</v>
          </cell>
        </row>
        <row r="177">
          <cell r="L177">
            <v>2</v>
          </cell>
          <cell r="N177" t="str">
            <v>Kuantitas satuan adalah kuantitas setiap komponen untuk menyelesaikan satu satuan pekerjaan dari nomor</v>
          </cell>
        </row>
        <row r="178">
          <cell r="N178" t="str">
            <v>mata pembayaran.</v>
          </cell>
        </row>
        <row r="179">
          <cell r="L179">
            <v>3</v>
          </cell>
          <cell r="N179" t="str">
            <v>Biaya satuan untuk peralatan sudah termasuk bahan bakar, bahan habis dipakai dan operator.</v>
          </cell>
        </row>
        <row r="180">
          <cell r="L180">
            <v>4</v>
          </cell>
          <cell r="N180" t="str">
            <v>Biaya satuan sudah termasuk pengeluaran untuk seluruh pajak yang berkaitan (tetapi tidak termasuk PPN</v>
          </cell>
        </row>
        <row r="181">
          <cell r="J181" t="str">
            <v>Berlanjut ke halaman berikut</v>
          </cell>
          <cell r="N181" t="str">
            <v>yang dibayar dari kontrak) dan biaya-biaya lainnya.</v>
          </cell>
        </row>
        <row r="182">
          <cell r="A182" t="str">
            <v>ITEM PEMBAYARAN NO.</v>
          </cell>
          <cell r="D182" t="str">
            <v>:  3.1 (2)</v>
          </cell>
          <cell r="J182" t="str">
            <v>Analisa EI-312</v>
          </cell>
        </row>
        <row r="183">
          <cell r="A183" t="str">
            <v>JENIS PEKERJAAN</v>
          </cell>
          <cell r="D183" t="str">
            <v>:  Galian Batu</v>
          </cell>
        </row>
        <row r="184">
          <cell r="A184" t="str">
            <v>SATUAN PEMBAYARAN</v>
          </cell>
          <cell r="D184" t="str">
            <v>:  M3</v>
          </cell>
          <cell r="H184" t="str">
            <v xml:space="preserve">         URAIAN ANALISA HARGA SATUAN</v>
          </cell>
        </row>
        <row r="185">
          <cell r="J185" t="str">
            <v>Lanjutan</v>
          </cell>
        </row>
        <row r="187">
          <cell r="A187" t="str">
            <v>No.</v>
          </cell>
          <cell r="C187" t="str">
            <v>U R A I A N</v>
          </cell>
          <cell r="G187" t="str">
            <v>KODE</v>
          </cell>
          <cell r="H187" t="str">
            <v>KOEF.</v>
          </cell>
          <cell r="I187" t="str">
            <v>SATUAN</v>
          </cell>
          <cell r="J187" t="str">
            <v>KETERANGAN</v>
          </cell>
        </row>
        <row r="190">
          <cell r="A190" t="str">
            <v>2.d.</v>
          </cell>
          <cell r="C190" t="str">
            <v>ALAT  BANTU</v>
          </cell>
        </row>
        <row r="191">
          <cell r="C191" t="str">
            <v>Diperlukan alat-alat bantu kecil</v>
          </cell>
          <cell r="J191" t="str">
            <v>Lump Sump</v>
          </cell>
        </row>
        <row r="192">
          <cell r="C192" t="str">
            <v>- Pahat / Tatah</v>
          </cell>
          <cell r="D192" t="str">
            <v>=  2  buah</v>
          </cell>
        </row>
        <row r="193">
          <cell r="C193" t="str">
            <v>- Palu Besar</v>
          </cell>
          <cell r="D193" t="str">
            <v>=  2  buah</v>
          </cell>
        </row>
        <row r="195">
          <cell r="A195" t="str">
            <v xml:space="preserve">   3.</v>
          </cell>
          <cell r="C195" t="str">
            <v>TENAGA</v>
          </cell>
        </row>
        <row r="196">
          <cell r="C196" t="str">
            <v>Produksi menentukan : JACK HAMMER</v>
          </cell>
          <cell r="G196" t="str">
            <v>Q1</v>
          </cell>
          <cell r="H196">
            <v>8</v>
          </cell>
          <cell r="I196" t="str">
            <v>M3/Jam</v>
          </cell>
        </row>
        <row r="197">
          <cell r="C197" t="str">
            <v>Produksi Galian / hari  =  Tk x Q1</v>
          </cell>
          <cell r="G197" t="str">
            <v>Qt</v>
          </cell>
          <cell r="H197">
            <v>56</v>
          </cell>
          <cell r="I197" t="str">
            <v>M3</v>
          </cell>
        </row>
        <row r="198">
          <cell r="C198" t="str">
            <v>Kebutuhan tenaga :</v>
          </cell>
        </row>
        <row r="199">
          <cell r="D199" t="str">
            <v>- Pekerja</v>
          </cell>
          <cell r="G199" t="str">
            <v>P</v>
          </cell>
          <cell r="H199">
            <v>8</v>
          </cell>
          <cell r="I199" t="str">
            <v>orang</v>
          </cell>
        </row>
        <row r="200">
          <cell r="D200" t="str">
            <v>- Mandor</v>
          </cell>
          <cell r="G200" t="str">
            <v>M</v>
          </cell>
          <cell r="H200">
            <v>1</v>
          </cell>
          <cell r="I200" t="str">
            <v>orang</v>
          </cell>
        </row>
        <row r="202">
          <cell r="C202" t="str">
            <v>Koefisien tenaga / M3   :</v>
          </cell>
        </row>
        <row r="203">
          <cell r="D203" t="str">
            <v>- Pekerja</v>
          </cell>
          <cell r="E203" t="str">
            <v>= (Tk x P) : Qt</v>
          </cell>
          <cell r="G203" t="str">
            <v>(L01)</v>
          </cell>
          <cell r="H203">
            <v>1</v>
          </cell>
          <cell r="I203" t="str">
            <v>Jam</v>
          </cell>
        </row>
        <row r="204">
          <cell r="D204" t="str">
            <v>- Mandor</v>
          </cell>
          <cell r="E204" t="str">
            <v>= (Tk x M) : Qt</v>
          </cell>
          <cell r="G204" t="str">
            <v>(L03)</v>
          </cell>
          <cell r="H204">
            <v>0.125</v>
          </cell>
          <cell r="I204" t="str">
            <v>Jam</v>
          </cell>
        </row>
        <row r="206">
          <cell r="A206" t="str">
            <v>4.</v>
          </cell>
          <cell r="C206" t="str">
            <v>HARGA DASAR SATUAN UPAH, BAHAN DAN ALAT</v>
          </cell>
        </row>
        <row r="207">
          <cell r="C207" t="str">
            <v>Lihat lampiran.</v>
          </cell>
        </row>
        <row r="209">
          <cell r="A209" t="str">
            <v>5.</v>
          </cell>
          <cell r="C209" t="str">
            <v>ANALISA HARGA SATUAN PEKERJAAN</v>
          </cell>
        </row>
        <row r="210">
          <cell r="C210" t="str">
            <v>Lihat perhitungan dalam FORMULIR STANDAR UNTUK</v>
          </cell>
        </row>
        <row r="211">
          <cell r="C211" t="str">
            <v>PEREKEMAN ANALISA MASING-MASING HARGA</v>
          </cell>
        </row>
        <row r="212">
          <cell r="C212" t="str">
            <v>SATUAN.</v>
          </cell>
        </row>
        <row r="213">
          <cell r="C213" t="str">
            <v>Didapat Harga Satuan Pekerjaan :</v>
          </cell>
        </row>
        <row r="215">
          <cell r="C215" t="str">
            <v xml:space="preserve">Rp.  </v>
          </cell>
          <cell r="D215">
            <v>113225.337291659</v>
          </cell>
          <cell r="E215" t="str">
            <v xml:space="preserve"> / M3</v>
          </cell>
        </row>
        <row r="218">
          <cell r="A218" t="str">
            <v>6.</v>
          </cell>
          <cell r="C218" t="str">
            <v>WAKTU PELAKSANAAN YANG DIPERLUKAN</v>
          </cell>
        </row>
        <row r="219">
          <cell r="C219" t="str">
            <v>Masa Pelaksanaan :</v>
          </cell>
          <cell r="D219" t="str">
            <v>. . . . . . . . . . . .</v>
          </cell>
          <cell r="E219" t="str">
            <v>bulan</v>
          </cell>
        </row>
        <row r="221">
          <cell r="A221" t="str">
            <v>7.</v>
          </cell>
          <cell r="C221" t="str">
            <v>VOLUME PEKERJAAN YANG DIPERLUKAN</v>
          </cell>
        </row>
        <row r="222">
          <cell r="C222" t="str">
            <v>Volume pekerjaan  :</v>
          </cell>
          <cell r="D222">
            <v>0</v>
          </cell>
          <cell r="E222" t="str">
            <v>M3</v>
          </cell>
        </row>
        <row r="255">
          <cell r="A255" t="str">
            <v>ITEM PEMBAYARAN NO.</v>
          </cell>
          <cell r="D255" t="str">
            <v>:  3.1 (6)</v>
          </cell>
          <cell r="J255" t="str">
            <v>Analisa EI-313</v>
          </cell>
          <cell r="T255" t="str">
            <v>Analisa EI-313</v>
          </cell>
        </row>
        <row r="256">
          <cell r="A256" t="str">
            <v>JENIS PEKERJAAN</v>
          </cell>
          <cell r="D256" t="str">
            <v>:  Galian Struktur dengan Kedalaman 0 - 2 M</v>
          </cell>
        </row>
        <row r="257">
          <cell r="A257" t="str">
            <v>SATUAN PEMBAYARAN</v>
          </cell>
          <cell r="D257" t="str">
            <v>:  M3</v>
          </cell>
          <cell r="H257" t="str">
            <v xml:space="preserve">         URAIAN ANALISA HARGA SATUAN</v>
          </cell>
          <cell r="L257" t="str">
            <v>FORMULIR STANDAR UNTUK</v>
          </cell>
        </row>
        <row r="258">
          <cell r="L258" t="str">
            <v>PEREKAMAN ANALISA MASING-MASING HARGA SATUAN</v>
          </cell>
        </row>
        <row r="259">
          <cell r="L259" t="str">
            <v xml:space="preserve">                                                                                                            </v>
          </cell>
        </row>
        <row r="260">
          <cell r="A260" t="str">
            <v>No.</v>
          </cell>
          <cell r="C260" t="str">
            <v>U R A I A N</v>
          </cell>
          <cell r="G260" t="str">
            <v>KODE</v>
          </cell>
          <cell r="H260" t="str">
            <v>KOEF.</v>
          </cell>
          <cell r="I260" t="str">
            <v>SATUAN</v>
          </cell>
          <cell r="J260" t="str">
            <v>KETERANGAN</v>
          </cell>
        </row>
        <row r="262">
          <cell r="L262" t="str">
            <v>PROYEK</v>
          </cell>
          <cell r="O262" t="str">
            <v>:</v>
          </cell>
        </row>
        <row r="263">
          <cell r="A263" t="str">
            <v>I.</v>
          </cell>
          <cell r="C263" t="str">
            <v>ASUMSI</v>
          </cell>
          <cell r="L263" t="str">
            <v>No. PAKET KONTRAK</v>
          </cell>
          <cell r="O263" t="str">
            <v>:</v>
          </cell>
        </row>
        <row r="264">
          <cell r="A264">
            <v>1</v>
          </cell>
          <cell r="C264" t="str">
            <v>Pekerjaan dilakukan secara manual</v>
          </cell>
          <cell r="L264" t="str">
            <v>NAMA PAKET</v>
          </cell>
          <cell r="O264" t="str">
            <v>:</v>
          </cell>
        </row>
        <row r="265">
          <cell r="A265">
            <v>2</v>
          </cell>
          <cell r="C265" t="str">
            <v>Lokasi pekerjaan : sekitar jembatan</v>
          </cell>
          <cell r="L265" t="str">
            <v>PROP / KAB / KODYA</v>
          </cell>
          <cell r="O265" t="str">
            <v>:</v>
          </cell>
        </row>
        <row r="266">
          <cell r="A266">
            <v>3</v>
          </cell>
          <cell r="C266" t="str">
            <v>Kondisi Jalan   :  sedang / baik</v>
          </cell>
          <cell r="L266" t="str">
            <v>ITEM PEMBAYARAN NO.</v>
          </cell>
          <cell r="O266" t="str">
            <v>:  3.1 (6)</v>
          </cell>
          <cell r="R266" t="str">
            <v>PERKIRAAN VOL. PEK.</v>
          </cell>
          <cell r="T266" t="str">
            <v>:</v>
          </cell>
          <cell r="U266">
            <v>0</v>
          </cell>
        </row>
        <row r="267">
          <cell r="A267">
            <v>4</v>
          </cell>
          <cell r="C267" t="str">
            <v>Jam kerja efektif per-hari</v>
          </cell>
          <cell r="G267" t="str">
            <v>Tk</v>
          </cell>
          <cell r="H267">
            <v>7</v>
          </cell>
          <cell r="I267" t="str">
            <v>Jam</v>
          </cell>
          <cell r="L267" t="str">
            <v>JENIS PEKERJAAN</v>
          </cell>
          <cell r="O267" t="str">
            <v>:  Galian Struktur dengan Kedalaman 0 - 2 M</v>
          </cell>
          <cell r="R267" t="str">
            <v>TOTAL HARGA (Rp.)</v>
          </cell>
          <cell r="T267" t="str">
            <v>:</v>
          </cell>
          <cell r="U267">
            <v>0</v>
          </cell>
        </row>
        <row r="268">
          <cell r="A268">
            <v>5</v>
          </cell>
          <cell r="C268" t="str">
            <v>Faktor pengembangan bahan</v>
          </cell>
          <cell r="G268" t="str">
            <v>Fh</v>
          </cell>
          <cell r="H268">
            <v>1.2</v>
          </cell>
          <cell r="I268" t="str">
            <v>-</v>
          </cell>
          <cell r="L268" t="str">
            <v>SATUAN PEMBAYARAN</v>
          </cell>
          <cell r="O268" t="str">
            <v>:  M3</v>
          </cell>
          <cell r="R268" t="str">
            <v>% THD. BIAYA PROYEK</v>
          </cell>
          <cell r="T268" t="str">
            <v>:</v>
          </cell>
          <cell r="U268" t="e">
            <v>#DIV/0!</v>
          </cell>
        </row>
        <row r="269">
          <cell r="A269">
            <v>6</v>
          </cell>
          <cell r="C269" t="str">
            <v>Pengurugan kembali (backfill) untuk struktur</v>
          </cell>
          <cell r="G269" t="str">
            <v>Uk</v>
          </cell>
          <cell r="H269">
            <v>50</v>
          </cell>
          <cell r="I269" t="str">
            <v>%/M3</v>
          </cell>
        </row>
        <row r="271">
          <cell r="A271" t="str">
            <v>II.</v>
          </cell>
          <cell r="C271" t="str">
            <v>METHODE PELAKSANAAN</v>
          </cell>
          <cell r="Q271" t="str">
            <v>PERKIRAAN</v>
          </cell>
          <cell r="R271" t="str">
            <v>HARGA</v>
          </cell>
          <cell r="S271" t="str">
            <v>JUMLAH</v>
          </cell>
        </row>
        <row r="272">
          <cell r="A272">
            <v>1</v>
          </cell>
          <cell r="C272" t="str">
            <v>Tanah yang dipotong berada disekitar lokasi</v>
          </cell>
          <cell r="L272" t="str">
            <v>NO.</v>
          </cell>
          <cell r="N272" t="str">
            <v>KOMPONEN</v>
          </cell>
          <cell r="P272" t="str">
            <v>SATUAN</v>
          </cell>
          <cell r="Q272" t="str">
            <v>KUANTITAS</v>
          </cell>
          <cell r="R272" t="str">
            <v>SATUAN</v>
          </cell>
          <cell r="S272" t="str">
            <v>HARGA</v>
          </cell>
        </row>
        <row r="273">
          <cell r="A273">
            <v>2</v>
          </cell>
          <cell r="C273" t="str">
            <v>Penggalian dilakukan dengan menggunakan alat</v>
          </cell>
          <cell r="R273" t="str">
            <v>(Rp.)</v>
          </cell>
          <cell r="S273" t="str">
            <v>(Rp.)</v>
          </cell>
        </row>
        <row r="274">
          <cell r="C274" t="str">
            <v>Excavator</v>
          </cell>
        </row>
        <row r="275">
          <cell r="A275">
            <v>3</v>
          </cell>
          <cell r="C275" t="str">
            <v>Bulldozer mengangkut/mengusur hasil galian ke tempat</v>
          </cell>
        </row>
        <row r="276">
          <cell r="C276" t="str">
            <v>pembuangan di sekitar lokasi pekerjaan</v>
          </cell>
          <cell r="G276" t="str">
            <v>L</v>
          </cell>
          <cell r="H276">
            <v>0.1</v>
          </cell>
          <cell r="I276" t="str">
            <v>Km</v>
          </cell>
          <cell r="L276" t="str">
            <v>A.</v>
          </cell>
          <cell r="N276" t="str">
            <v>TENAGA</v>
          </cell>
        </row>
        <row r="278">
          <cell r="A278" t="str">
            <v>III.</v>
          </cell>
          <cell r="C278" t="str">
            <v>PEMAKAIAN BAHAN, ALAT DAN TENAGA</v>
          </cell>
          <cell r="L278" t="str">
            <v>1.</v>
          </cell>
          <cell r="N278" t="str">
            <v>Pekerja</v>
          </cell>
          <cell r="O278" t="str">
            <v>(L01)</v>
          </cell>
          <cell r="P278" t="str">
            <v>Jam</v>
          </cell>
          <cell r="Q278">
            <v>0.12701025480797318</v>
          </cell>
          <cell r="R278">
            <v>2857.14</v>
          </cell>
          <cell r="U278">
            <v>362.88607942205249</v>
          </cell>
        </row>
        <row r="279">
          <cell r="L279" t="str">
            <v>2.</v>
          </cell>
          <cell r="N279" t="str">
            <v>Mandor</v>
          </cell>
          <cell r="O279" t="str">
            <v>(L03)</v>
          </cell>
          <cell r="P279" t="str">
            <v>Jam</v>
          </cell>
          <cell r="Q279">
            <v>3.1752563701993294E-2</v>
          </cell>
          <cell r="R279">
            <v>3214.29</v>
          </cell>
          <cell r="U279">
            <v>102.06194798168002</v>
          </cell>
        </row>
        <row r="280">
          <cell r="A280" t="str">
            <v xml:space="preserve">   1.</v>
          </cell>
          <cell r="C280" t="str">
            <v>BAHAN</v>
          </cell>
        </row>
        <row r="281">
          <cell r="C281" t="str">
            <v>- Urugan Pilihan (untuk backfill)</v>
          </cell>
          <cell r="E281" t="str">
            <v>= Uk x 1M3</v>
          </cell>
          <cell r="G281" t="str">
            <v>(EI-322)</v>
          </cell>
          <cell r="H281">
            <v>0.5</v>
          </cell>
          <cell r="I281" t="str">
            <v>M3</v>
          </cell>
        </row>
        <row r="282">
          <cell r="Q282" t="str">
            <v xml:space="preserve">JUMLAH HARGA TENAGA   </v>
          </cell>
          <cell r="U282">
            <v>464.94802740373251</v>
          </cell>
        </row>
        <row r="283">
          <cell r="A283" t="str">
            <v xml:space="preserve">   2.</v>
          </cell>
          <cell r="C283" t="str">
            <v>ALAT</v>
          </cell>
        </row>
        <row r="284">
          <cell r="A284" t="str">
            <v xml:space="preserve">   2.a.</v>
          </cell>
          <cell r="C284" t="str">
            <v>EXCAVATOR</v>
          </cell>
          <cell r="G284" t="str">
            <v>(E10)</v>
          </cell>
          <cell r="L284" t="str">
            <v>B.</v>
          </cell>
          <cell r="N284" t="str">
            <v>BAHAN</v>
          </cell>
        </row>
        <row r="285">
          <cell r="C285" t="str">
            <v>Kapasitas Bucket</v>
          </cell>
          <cell r="G285" t="str">
            <v>V</v>
          </cell>
          <cell r="H285">
            <v>0.93</v>
          </cell>
          <cell r="I285" t="str">
            <v>M3</v>
          </cell>
        </row>
        <row r="286">
          <cell r="C286" t="str">
            <v>Faktor Bucket</v>
          </cell>
          <cell r="G286" t="str">
            <v>Fb</v>
          </cell>
          <cell r="H286">
            <v>0.9</v>
          </cell>
          <cell r="I286" t="str">
            <v>-</v>
          </cell>
          <cell r="L286" t="str">
            <v>1.</v>
          </cell>
          <cell r="N286" t="str">
            <v xml:space="preserve">Urugan Pilihan </v>
          </cell>
          <cell r="O286" t="str">
            <v>(EI-322)</v>
          </cell>
          <cell r="P286" t="str">
            <v>M3</v>
          </cell>
          <cell r="Q286">
            <v>0.5</v>
          </cell>
          <cell r="R286">
            <v>455558.60740011773</v>
          </cell>
          <cell r="U286">
            <v>227779.30370005887</v>
          </cell>
        </row>
        <row r="287">
          <cell r="C287" t="str">
            <v>Faktor  Efisiensi alat</v>
          </cell>
          <cell r="G287" t="str">
            <v>Fa</v>
          </cell>
          <cell r="H287">
            <v>0.83</v>
          </cell>
          <cell r="I287" t="str">
            <v>-</v>
          </cell>
        </row>
        <row r="288">
          <cell r="C288" t="str">
            <v>Faktor kedalaman</v>
          </cell>
          <cell r="G288" t="str">
            <v>Fd</v>
          </cell>
          <cell r="H288">
            <v>0.8</v>
          </cell>
          <cell r="I288" t="str">
            <v>-</v>
          </cell>
        </row>
        <row r="289">
          <cell r="C289" t="str">
            <v>Berat isi material</v>
          </cell>
          <cell r="G289" t="str">
            <v>Bim</v>
          </cell>
          <cell r="H289">
            <v>0.85</v>
          </cell>
          <cell r="I289" t="str">
            <v>-</v>
          </cell>
        </row>
        <row r="291">
          <cell r="C291" t="str">
            <v>Waktu siklus</v>
          </cell>
        </row>
        <row r="292">
          <cell r="C292" t="str">
            <v>- Menggali / memuat</v>
          </cell>
          <cell r="G292" t="str">
            <v>Te1</v>
          </cell>
          <cell r="H292">
            <v>0.5</v>
          </cell>
          <cell r="I292" t="str">
            <v>menit</v>
          </cell>
          <cell r="Q292" t="str">
            <v xml:space="preserve">JUMLAH HARGA BAHAN   </v>
          </cell>
          <cell r="U292">
            <v>227779.30370005887</v>
          </cell>
        </row>
        <row r="293">
          <cell r="C293" t="str">
            <v>- Lain-lain</v>
          </cell>
          <cell r="G293" t="str">
            <v>Te2</v>
          </cell>
          <cell r="H293">
            <v>0.25</v>
          </cell>
          <cell r="I293" t="str">
            <v>menit</v>
          </cell>
        </row>
        <row r="294">
          <cell r="G294" t="str">
            <v>Te</v>
          </cell>
          <cell r="H294">
            <v>0.75</v>
          </cell>
          <cell r="I294" t="str">
            <v>menit</v>
          </cell>
          <cell r="L294" t="str">
            <v>C.</v>
          </cell>
          <cell r="N294" t="str">
            <v>PERALATAN</v>
          </cell>
        </row>
        <row r="295">
          <cell r="L295" t="str">
            <v>1.</v>
          </cell>
          <cell r="N295" t="str">
            <v>Excavator</v>
          </cell>
          <cell r="O295" t="str">
            <v>(E10)</v>
          </cell>
          <cell r="P295" t="str">
            <v>Jam</v>
          </cell>
          <cell r="Q295">
            <v>3.1752563701993294E-2</v>
          </cell>
          <cell r="R295">
            <v>238185.05650827778</v>
          </cell>
          <cell r="U295">
            <v>7562.9861796419627</v>
          </cell>
        </row>
        <row r="296">
          <cell r="L296" t="str">
            <v>2.</v>
          </cell>
          <cell r="N296" t="str">
            <v>Bulldozer</v>
          </cell>
          <cell r="O296" t="str">
            <v>(E04)</v>
          </cell>
          <cell r="P296" t="str">
            <v>Jam</v>
          </cell>
          <cell r="Q296">
            <v>1.0213694283306062E-4</v>
          </cell>
          <cell r="R296">
            <v>256721.09983229413</v>
          </cell>
          <cell r="U296">
            <v>26.220708297611473</v>
          </cell>
        </row>
        <row r="297">
          <cell r="C297" t="str">
            <v>Kap. Prod. / jam =</v>
          </cell>
          <cell r="D297" t="str">
            <v>V  x Fb x Fa x Fd x Bim x 60</v>
          </cell>
          <cell r="G297" t="str">
            <v>Q1</v>
          </cell>
          <cell r="H297">
            <v>31.493520000000004</v>
          </cell>
          <cell r="I297" t="str">
            <v>M3/Jam</v>
          </cell>
          <cell r="L297" t="str">
            <v>3.</v>
          </cell>
          <cell r="N297" t="str">
            <v>Alat  bantu</v>
          </cell>
          <cell r="P297" t="str">
            <v>Ls</v>
          </cell>
          <cell r="Q297">
            <v>1</v>
          </cell>
          <cell r="R297">
            <v>100</v>
          </cell>
          <cell r="U297">
            <v>100</v>
          </cell>
        </row>
        <row r="298">
          <cell r="D298" t="str">
            <v>Te x Fh</v>
          </cell>
        </row>
        <row r="300">
          <cell r="C300" t="str">
            <v>Koefisien Alat / M3</v>
          </cell>
          <cell r="D300" t="str">
            <v xml:space="preserve"> =  1  :  Q1</v>
          </cell>
          <cell r="G300" t="str">
            <v>(E10)</v>
          </cell>
          <cell r="H300">
            <v>3.1752563701993294E-2</v>
          </cell>
          <cell r="I300" t="str">
            <v>Jam</v>
          </cell>
        </row>
        <row r="303">
          <cell r="A303" t="str">
            <v>2.a.</v>
          </cell>
          <cell r="C303" t="str">
            <v>BULLDOZER</v>
          </cell>
          <cell r="G303" t="str">
            <v>(E04)</v>
          </cell>
        </row>
        <row r="304">
          <cell r="C304" t="str">
            <v>Faktor pisau (blade)</v>
          </cell>
          <cell r="G304" t="str">
            <v>Fb</v>
          </cell>
          <cell r="H304">
            <v>1</v>
          </cell>
          <cell r="I304" t="str">
            <v>-</v>
          </cell>
          <cell r="Q304" t="str">
            <v xml:space="preserve">JUMLAH HARGA PERALATAN   </v>
          </cell>
          <cell r="U304">
            <v>7689.2068879395738</v>
          </cell>
        </row>
        <row r="305">
          <cell r="C305" t="str">
            <v>Faktor  efisiensi kerja</v>
          </cell>
          <cell r="G305" t="str">
            <v>Fa</v>
          </cell>
          <cell r="H305">
            <v>0.83</v>
          </cell>
          <cell r="I305" t="str">
            <v>-</v>
          </cell>
        </row>
        <row r="306">
          <cell r="C306" t="str">
            <v>Kecepatan mengupas</v>
          </cell>
          <cell r="G306" t="str">
            <v>Vf</v>
          </cell>
          <cell r="H306">
            <v>3</v>
          </cell>
          <cell r="I306" t="str">
            <v>Km/Jam</v>
          </cell>
          <cell r="L306" t="str">
            <v>D.</v>
          </cell>
          <cell r="N306" t="str">
            <v>JUMLAH HARGA TENAGA, BAHAN DAN PERALATAN  ( A + B + C )</v>
          </cell>
          <cell r="U306">
            <v>235933.45861540217</v>
          </cell>
        </row>
        <row r="307">
          <cell r="C307" t="str">
            <v>Kecepatan mundur</v>
          </cell>
          <cell r="G307" t="str">
            <v>Vr</v>
          </cell>
          <cell r="H307">
            <v>5</v>
          </cell>
          <cell r="I307" t="str">
            <v>Km/Jam</v>
          </cell>
          <cell r="L307" t="str">
            <v>E.</v>
          </cell>
          <cell r="N307" t="str">
            <v>OVERHEAD &amp; PROFIT</v>
          </cell>
          <cell r="P307">
            <v>10</v>
          </cell>
          <cell r="Q307" t="str">
            <v>%  x  D</v>
          </cell>
          <cell r="U307">
            <v>23593.34586154022</v>
          </cell>
        </row>
        <row r="308">
          <cell r="C308" t="str">
            <v>Kapasitas pisau</v>
          </cell>
          <cell r="G308" t="str">
            <v>q</v>
          </cell>
          <cell r="H308">
            <v>5.4</v>
          </cell>
          <cell r="I308" t="str">
            <v>M3</v>
          </cell>
          <cell r="L308" t="str">
            <v>F.</v>
          </cell>
          <cell r="N308" t="str">
            <v>HARGA SATUAN PEKERJAAN  ( D + E )</v>
          </cell>
          <cell r="U308">
            <v>259526.8044769424</v>
          </cell>
        </row>
        <row r="309">
          <cell r="A309" t="str">
            <v>`</v>
          </cell>
          <cell r="C309" t="str">
            <v>Faktor kemiringan (grade)</v>
          </cell>
          <cell r="G309" t="str">
            <v>Fm</v>
          </cell>
          <cell r="H309">
            <v>1</v>
          </cell>
          <cell r="L309" t="str">
            <v>Note: 1</v>
          </cell>
          <cell r="N309" t="str">
            <v>SATUAN dapat berdasarkan atas jam operasi untuk Tenaga Kerja dan Peralatan, volume dan/atau ukuran</v>
          </cell>
        </row>
        <row r="310">
          <cell r="N310" t="str">
            <v>berat untuk bahan-bahan.</v>
          </cell>
        </row>
        <row r="311">
          <cell r="L311">
            <v>2</v>
          </cell>
          <cell r="N311" t="str">
            <v>Kuantitas satuan adalah kuantitas setiap komponen untuk menyelesaikan satu satuan pekerjaan dari nomor</v>
          </cell>
        </row>
        <row r="312">
          <cell r="N312" t="str">
            <v>mata pembayaran.</v>
          </cell>
        </row>
        <row r="313">
          <cell r="L313">
            <v>3</v>
          </cell>
          <cell r="N313" t="str">
            <v>Biaya satuan untuk peralatan sudah termasuk bahan bakar, bahan habis dipakai dan operator.</v>
          </cell>
        </row>
        <row r="314">
          <cell r="L314">
            <v>4</v>
          </cell>
          <cell r="N314" t="str">
            <v>Biaya satuan sudah termasuk pengeluaran untuk seluruh pajak yang berkaitan (tetapi tidak termasuk PPN</v>
          </cell>
        </row>
        <row r="315">
          <cell r="J315" t="str">
            <v>Berlanjut ke halaman berikut</v>
          </cell>
          <cell r="N315" t="str">
            <v>yang dibayar dari kontrak) dan biaya-biaya lainnya.</v>
          </cell>
        </row>
        <row r="316">
          <cell r="A316" t="str">
            <v>ITEM PEMBAYARAN NO.</v>
          </cell>
          <cell r="D316" t="str">
            <v>:  3.1 (6)</v>
          </cell>
          <cell r="J316" t="str">
            <v>Analisa EI-313</v>
          </cell>
        </row>
        <row r="317">
          <cell r="A317" t="str">
            <v>JENIS PEKERJAAN</v>
          </cell>
          <cell r="D317" t="str">
            <v>:  Galian Struktur dengan Kedalaman 0 - 2 M</v>
          </cell>
        </row>
        <row r="318">
          <cell r="A318" t="str">
            <v>SATUAN PEMBAYARAN</v>
          </cell>
          <cell r="D318" t="str">
            <v>:  M3</v>
          </cell>
          <cell r="H318" t="str">
            <v xml:space="preserve">         URAIAN ANALISA HARGA SATUAN</v>
          </cell>
        </row>
        <row r="319">
          <cell r="J319" t="str">
            <v>Lanjutan</v>
          </cell>
        </row>
        <row r="321">
          <cell r="A321" t="str">
            <v>No.</v>
          </cell>
          <cell r="C321" t="str">
            <v>U R A I A N</v>
          </cell>
          <cell r="G321" t="str">
            <v>KODE</v>
          </cell>
          <cell r="H321" t="str">
            <v>KOEF.</v>
          </cell>
          <cell r="I321" t="str">
            <v>SATUAN</v>
          </cell>
          <cell r="J321" t="str">
            <v>KETERANGAN</v>
          </cell>
        </row>
        <row r="324">
          <cell r="C324" t="str">
            <v>Waktu Siklus</v>
          </cell>
          <cell r="G324" t="str">
            <v>Ts</v>
          </cell>
        </row>
        <row r="325">
          <cell r="C325" t="str">
            <v>- Waktu gusur</v>
          </cell>
          <cell r="D325" t="str">
            <v>= l / Vf</v>
          </cell>
          <cell r="G325" t="str">
            <v>T1</v>
          </cell>
          <cell r="H325">
            <v>1.6666666666666666E-2</v>
          </cell>
          <cell r="I325" t="str">
            <v>menit</v>
          </cell>
        </row>
        <row r="326">
          <cell r="C326" t="str">
            <v>- Waktu kembali</v>
          </cell>
          <cell r="D326" t="str">
            <v>= l / Vr</v>
          </cell>
          <cell r="G326" t="str">
            <v>T2</v>
          </cell>
          <cell r="H326">
            <v>0.01</v>
          </cell>
          <cell r="I326" t="str">
            <v>menit</v>
          </cell>
        </row>
        <row r="327">
          <cell r="C327" t="str">
            <v>- Waktu lain-lain</v>
          </cell>
          <cell r="G327" t="str">
            <v>T3</v>
          </cell>
          <cell r="H327">
            <v>8.0000000000000004E-4</v>
          </cell>
          <cell r="I327" t="str">
            <v>menit</v>
          </cell>
        </row>
        <row r="328">
          <cell r="G328" t="str">
            <v>Ts</v>
          </cell>
          <cell r="H328">
            <v>2.7466666666666664E-2</v>
          </cell>
          <cell r="I328" t="str">
            <v>menit</v>
          </cell>
        </row>
        <row r="330">
          <cell r="C330" t="str">
            <v>Kapasitas Produksi / Jam   =</v>
          </cell>
          <cell r="E330" t="str">
            <v>q x Fb x Fm x Fa x 60/Ts</v>
          </cell>
          <cell r="G330" t="str">
            <v>Q2</v>
          </cell>
          <cell r="H330">
            <v>9790.7766990291275</v>
          </cell>
          <cell r="I330" t="str">
            <v>M3</v>
          </cell>
        </row>
        <row r="333">
          <cell r="C333" t="str">
            <v>Koefisien Alat / M3</v>
          </cell>
          <cell r="D333" t="str">
            <v xml:space="preserve"> =  1  :  Q2</v>
          </cell>
          <cell r="G333" t="str">
            <v>(E04)</v>
          </cell>
          <cell r="H333">
            <v>1.0213694283306062E-4</v>
          </cell>
          <cell r="I333" t="str">
            <v>Jam</v>
          </cell>
        </row>
        <row r="336">
          <cell r="A336" t="str">
            <v>2.d.</v>
          </cell>
          <cell r="C336" t="str">
            <v>ALAT  BANTU</v>
          </cell>
        </row>
        <row r="337">
          <cell r="C337" t="str">
            <v>Diperlukan alat-alat bantu kecil</v>
          </cell>
          <cell r="J337" t="str">
            <v>Lump Sump</v>
          </cell>
        </row>
        <row r="338">
          <cell r="C338" t="str">
            <v>- Pacul</v>
          </cell>
          <cell r="D338" t="str">
            <v>=  2  buah</v>
          </cell>
        </row>
        <row r="339">
          <cell r="C339" t="str">
            <v>- Sekop</v>
          </cell>
          <cell r="D339" t="str">
            <v>=  2  buah</v>
          </cell>
        </row>
        <row r="342">
          <cell r="A342" t="str">
            <v xml:space="preserve">   3.</v>
          </cell>
          <cell r="C342" t="str">
            <v>TENAGA</v>
          </cell>
        </row>
        <row r="343">
          <cell r="C343" t="str">
            <v>Produksi menentukan : EXCAVATOR</v>
          </cell>
          <cell r="G343" t="str">
            <v>Q1</v>
          </cell>
          <cell r="H343">
            <v>31.493520000000004</v>
          </cell>
          <cell r="I343" t="str">
            <v>M3/Jam</v>
          </cell>
        </row>
        <row r="344">
          <cell r="C344" t="str">
            <v>Produksi Galian / hari  =  Tk x Q1</v>
          </cell>
          <cell r="G344" t="str">
            <v>Qt</v>
          </cell>
          <cell r="H344">
            <v>220.45464000000004</v>
          </cell>
          <cell r="I344" t="str">
            <v>M3</v>
          </cell>
        </row>
        <row r="345">
          <cell r="C345" t="str">
            <v>Kebutuhan tenaga :</v>
          </cell>
        </row>
        <row r="346">
          <cell r="D346" t="str">
            <v>- Pekerja</v>
          </cell>
          <cell r="G346" t="str">
            <v>P</v>
          </cell>
          <cell r="H346">
            <v>4</v>
          </cell>
          <cell r="I346" t="str">
            <v>orang</v>
          </cell>
        </row>
        <row r="347">
          <cell r="D347" t="str">
            <v>- Mandor</v>
          </cell>
          <cell r="G347" t="str">
            <v>M</v>
          </cell>
          <cell r="H347">
            <v>1</v>
          </cell>
          <cell r="I347" t="str">
            <v>orang</v>
          </cell>
        </row>
        <row r="349">
          <cell r="C349" t="str">
            <v>Koefisien tenaga / M3   :</v>
          </cell>
        </row>
        <row r="350">
          <cell r="D350" t="str">
            <v>- Pekerja</v>
          </cell>
          <cell r="E350" t="str">
            <v>= (Tk x P) : Qt</v>
          </cell>
          <cell r="G350" t="str">
            <v>(L01)</v>
          </cell>
          <cell r="H350">
            <v>0.12701025480797318</v>
          </cell>
          <cell r="I350" t="str">
            <v>Jam</v>
          </cell>
        </row>
        <row r="351">
          <cell r="D351" t="str">
            <v>- Mandor</v>
          </cell>
          <cell r="E351" t="str">
            <v>= (Tk x M) : Qt</v>
          </cell>
          <cell r="G351" t="str">
            <v>(L03)</v>
          </cell>
          <cell r="H351">
            <v>3.1752563701993294E-2</v>
          </cell>
          <cell r="I351" t="str">
            <v>Jam</v>
          </cell>
        </row>
        <row r="353">
          <cell r="A353" t="str">
            <v>4.</v>
          </cell>
          <cell r="C353" t="str">
            <v>HARGA DASAR SATUAN UPAH, BAHAN DAN ALAT</v>
          </cell>
        </row>
        <row r="354">
          <cell r="C354" t="str">
            <v>Lihat lampiran.</v>
          </cell>
        </row>
        <row r="356">
          <cell r="A356" t="str">
            <v>5.</v>
          </cell>
          <cell r="C356" t="str">
            <v>ANALISA HARGA SATUAN PEKERJAAN</v>
          </cell>
        </row>
        <row r="357">
          <cell r="C357" t="str">
            <v>Lihat perhitungan dalam FORMULIR STANDAR UNTUK</v>
          </cell>
        </row>
        <row r="358">
          <cell r="C358" t="str">
            <v>PEREKEMAN ANALISA MASING-MASING HARGA</v>
          </cell>
        </row>
        <row r="359">
          <cell r="C359" t="str">
            <v>SATUAN.</v>
          </cell>
        </row>
        <row r="360">
          <cell r="C360" t="str">
            <v>Didapat Harga Satuan Pekerjaan :</v>
          </cell>
        </row>
        <row r="362">
          <cell r="C362" t="str">
            <v xml:space="preserve">Rp.  </v>
          </cell>
          <cell r="D362">
            <v>259526.8044769424</v>
          </cell>
          <cell r="E362" t="str">
            <v xml:space="preserve"> / M3</v>
          </cell>
        </row>
        <row r="365">
          <cell r="A365" t="str">
            <v>6.</v>
          </cell>
          <cell r="C365" t="str">
            <v>WAKTU PELAKSANAAN YANG DIPERLUKAN</v>
          </cell>
        </row>
        <row r="366">
          <cell r="C366" t="str">
            <v>Masa Pelaksanaan :</v>
          </cell>
          <cell r="D366" t="str">
            <v>. . . . . . . . . . . .</v>
          </cell>
          <cell r="E366" t="str">
            <v>bulan</v>
          </cell>
        </row>
        <row r="368">
          <cell r="A368" t="str">
            <v>7.</v>
          </cell>
          <cell r="C368" t="str">
            <v>VOLUME PEKERJAAN YANG DIPERLUKAN</v>
          </cell>
        </row>
        <row r="369">
          <cell r="C369" t="str">
            <v>Volume pekerjaan  :</v>
          </cell>
          <cell r="D369">
            <v>102.06194798168002</v>
          </cell>
          <cell r="E369" t="str">
            <v>M3</v>
          </cell>
        </row>
        <row r="375">
          <cell r="A375" t="str">
            <v>ITEM PEMBAYARAN NO.</v>
          </cell>
          <cell r="D375" t="str">
            <v>:  3.1 (7)</v>
          </cell>
          <cell r="J375" t="str">
            <v>Analisa EI-314</v>
          </cell>
          <cell r="T375" t="str">
            <v>Analisa EI-314</v>
          </cell>
        </row>
        <row r="376">
          <cell r="A376" t="str">
            <v>JENIS PEKERJAAN</v>
          </cell>
          <cell r="D376" t="str">
            <v>:  Galian Struktur dengan Kedalaman 2 - 4 M</v>
          </cell>
        </row>
        <row r="377">
          <cell r="A377" t="str">
            <v>SATUAN PEMBAYARAN</v>
          </cell>
          <cell r="D377" t="str">
            <v>:  M3</v>
          </cell>
          <cell r="H377" t="str">
            <v xml:space="preserve">         URAIAN ANALISA HARGA SATUAN</v>
          </cell>
          <cell r="L377" t="str">
            <v>FORMULIR STANDAR UNTUK</v>
          </cell>
        </row>
        <row r="378">
          <cell r="L378" t="str">
            <v>PEREKAMAN ANALISA MASING-MASING HARGA SATUAN</v>
          </cell>
        </row>
        <row r="379">
          <cell r="L379" t="str">
            <v xml:space="preserve">                                                                                                            </v>
          </cell>
        </row>
        <row r="380">
          <cell r="A380" t="str">
            <v>No.</v>
          </cell>
          <cell r="C380" t="str">
            <v>U R A I A N</v>
          </cell>
          <cell r="G380" t="str">
            <v>KODE</v>
          </cell>
          <cell r="H380" t="str">
            <v>KOEF.</v>
          </cell>
          <cell r="I380" t="str">
            <v>SATUAN</v>
          </cell>
          <cell r="J380" t="str">
            <v>KETERANGAN</v>
          </cell>
        </row>
        <row r="382">
          <cell r="L382" t="str">
            <v>PROYEK</v>
          </cell>
          <cell r="O382" t="str">
            <v>:</v>
          </cell>
        </row>
        <row r="383">
          <cell r="A383" t="str">
            <v>I.</v>
          </cell>
          <cell r="C383" t="str">
            <v>ASUMSI</v>
          </cell>
          <cell r="L383" t="str">
            <v>No. PAKET KONTRAK</v>
          </cell>
          <cell r="O383" t="str">
            <v>:</v>
          </cell>
        </row>
        <row r="384">
          <cell r="A384">
            <v>1</v>
          </cell>
          <cell r="C384" t="str">
            <v>Pekerjaan dilakukan secara manual</v>
          </cell>
          <cell r="L384" t="str">
            <v>NAMA PAKET</v>
          </cell>
          <cell r="O384" t="str">
            <v>:</v>
          </cell>
        </row>
        <row r="385">
          <cell r="A385">
            <v>2</v>
          </cell>
          <cell r="C385" t="str">
            <v>Lokasi pekerjaan : sekitar jembatan</v>
          </cell>
          <cell r="L385" t="str">
            <v>PROP / KAB / KODYA</v>
          </cell>
          <cell r="O385" t="str">
            <v>:</v>
          </cell>
        </row>
        <row r="386">
          <cell r="A386">
            <v>3</v>
          </cell>
          <cell r="C386" t="str">
            <v>Kondisi Jalan   :  sedang / baik</v>
          </cell>
          <cell r="L386" t="str">
            <v>ITEM PEMBAYARAN NO.</v>
          </cell>
          <cell r="O386" t="str">
            <v>:  3.1 (7)</v>
          </cell>
          <cell r="R386" t="str">
            <v>PERKIRAAN VOL. PEK.</v>
          </cell>
          <cell r="T386" t="str">
            <v>:</v>
          </cell>
          <cell r="U386">
            <v>0</v>
          </cell>
        </row>
        <row r="387">
          <cell r="A387">
            <v>4</v>
          </cell>
          <cell r="C387" t="str">
            <v>Jam kerja efektif per-hari</v>
          </cell>
          <cell r="G387" t="str">
            <v>Tk</v>
          </cell>
          <cell r="H387">
            <v>7</v>
          </cell>
          <cell r="I387" t="str">
            <v>Jam</v>
          </cell>
          <cell r="L387" t="str">
            <v>JENIS PEKERJAAN</v>
          </cell>
          <cell r="O387" t="str">
            <v>:  Galian Struktur dengan Kedalaman 2 - 4 M</v>
          </cell>
          <cell r="R387" t="str">
            <v>TOTAL HARGA (Rp.)</v>
          </cell>
          <cell r="T387" t="str">
            <v>:</v>
          </cell>
          <cell r="U387">
            <v>0</v>
          </cell>
        </row>
        <row r="388">
          <cell r="A388">
            <v>5</v>
          </cell>
          <cell r="C388" t="str">
            <v>Faktor pengembangan bahan</v>
          </cell>
          <cell r="G388" t="str">
            <v>Fh</v>
          </cell>
          <cell r="H388">
            <v>1.2</v>
          </cell>
          <cell r="I388" t="str">
            <v>-</v>
          </cell>
          <cell r="L388" t="str">
            <v>SATUAN PEMBAYARAN</v>
          </cell>
          <cell r="O388" t="str">
            <v>:  M3</v>
          </cell>
          <cell r="R388" t="str">
            <v>% THD. BIAYA PROYEK</v>
          </cell>
          <cell r="T388" t="str">
            <v>:</v>
          </cell>
          <cell r="U388" t="e">
            <v>#DIV/0!</v>
          </cell>
        </row>
        <row r="389">
          <cell r="A389">
            <v>6</v>
          </cell>
          <cell r="C389" t="str">
            <v>Pengurugan kembali (backfill) untuk struktur</v>
          </cell>
          <cell r="G389" t="str">
            <v>Uk</v>
          </cell>
          <cell r="H389">
            <v>50</v>
          </cell>
          <cell r="I389" t="str">
            <v>%/M3</v>
          </cell>
        </row>
        <row r="391">
          <cell r="A391" t="str">
            <v>II.</v>
          </cell>
          <cell r="C391" t="str">
            <v>METHODE PELAKSANAAN</v>
          </cell>
          <cell r="Q391" t="str">
            <v>PERKIRAAN</v>
          </cell>
          <cell r="R391" t="str">
            <v>HARGA</v>
          </cell>
          <cell r="S391" t="str">
            <v>JUMLAH</v>
          </cell>
        </row>
        <row r="392">
          <cell r="A392">
            <v>1</v>
          </cell>
          <cell r="C392" t="str">
            <v>Tanah yang dipotong berada disekitar jembatan</v>
          </cell>
          <cell r="L392" t="str">
            <v>NO.</v>
          </cell>
          <cell r="N392" t="str">
            <v>KOMPONEN</v>
          </cell>
          <cell r="P392" t="str">
            <v>SATUAN</v>
          </cell>
          <cell r="Q392" t="str">
            <v>KUANTITAS</v>
          </cell>
          <cell r="R392" t="str">
            <v>SATUAN</v>
          </cell>
          <cell r="S392" t="str">
            <v>HARGA</v>
          </cell>
        </row>
        <row r="393">
          <cell r="A393">
            <v>2</v>
          </cell>
          <cell r="C393" t="str">
            <v>Penggalian dilakukan dengan menggunakan alat</v>
          </cell>
          <cell r="R393" t="str">
            <v>(Rp.)</v>
          </cell>
          <cell r="S393" t="str">
            <v>(Rp.)</v>
          </cell>
        </row>
        <row r="394">
          <cell r="C394" t="str">
            <v>Excavator</v>
          </cell>
        </row>
        <row r="395">
          <cell r="A395">
            <v>3</v>
          </cell>
          <cell r="C395" t="str">
            <v>Bulldozer mengangkut/mengusur hasil galian ke tempat</v>
          </cell>
        </row>
        <row r="396">
          <cell r="C396" t="str">
            <v>pembuangan di sekitar lokasi pekerjaan</v>
          </cell>
          <cell r="G396" t="str">
            <v>L</v>
          </cell>
          <cell r="H396">
            <v>0.1</v>
          </cell>
          <cell r="I396" t="str">
            <v>Km</v>
          </cell>
          <cell r="L396" t="str">
            <v>A.</v>
          </cell>
          <cell r="N396" t="str">
            <v>TENAGA</v>
          </cell>
        </row>
        <row r="398">
          <cell r="A398" t="str">
            <v>III.</v>
          </cell>
          <cell r="C398" t="str">
            <v>PEMAKAIAN BAHAN, ALAT DAN TENAGA</v>
          </cell>
          <cell r="L398" t="str">
            <v>1.</v>
          </cell>
          <cell r="N398" t="str">
            <v>Pekerja</v>
          </cell>
          <cell r="O398" t="str">
            <v>(L01)</v>
          </cell>
          <cell r="P398" t="str">
            <v>Jam</v>
          </cell>
          <cell r="Q398">
            <v>0.41685416962616839</v>
          </cell>
          <cell r="R398">
            <v>2857.14</v>
          </cell>
          <cell r="U398">
            <v>1191.0107222057106</v>
          </cell>
        </row>
        <row r="399">
          <cell r="L399" t="str">
            <v>2.</v>
          </cell>
          <cell r="N399" t="str">
            <v>Mandor</v>
          </cell>
          <cell r="O399" t="str">
            <v>(L03)</v>
          </cell>
          <cell r="P399" t="str">
            <v>Jam</v>
          </cell>
          <cell r="Q399">
            <v>4.1685416962616843E-2</v>
          </cell>
          <cell r="R399">
            <v>3214.29</v>
          </cell>
          <cell r="U399">
            <v>133.98901888876969</v>
          </cell>
        </row>
        <row r="400">
          <cell r="A400" t="str">
            <v xml:space="preserve">   1.</v>
          </cell>
          <cell r="C400" t="str">
            <v>BAHAN</v>
          </cell>
        </row>
        <row r="401">
          <cell r="C401" t="str">
            <v>- Urugan Pilihan (untuk backfill)</v>
          </cell>
          <cell r="E401" t="str">
            <v>= Uk x 1M3</v>
          </cell>
          <cell r="G401" t="str">
            <v>(EI-322)</v>
          </cell>
          <cell r="H401">
            <v>0.5</v>
          </cell>
          <cell r="I401" t="str">
            <v>M3</v>
          </cell>
        </row>
        <row r="402">
          <cell r="Q402" t="str">
            <v xml:space="preserve">JUMLAH HARGA TENAGA   </v>
          </cell>
          <cell r="U402">
            <v>1324.9997410944802</v>
          </cell>
        </row>
        <row r="403">
          <cell r="A403" t="str">
            <v xml:space="preserve">   2.</v>
          </cell>
          <cell r="C403" t="str">
            <v>ALAT</v>
          </cell>
        </row>
        <row r="404">
          <cell r="A404" t="str">
            <v xml:space="preserve">   2.a.</v>
          </cell>
          <cell r="C404" t="str">
            <v>EXCAVATOR</v>
          </cell>
          <cell r="G404" t="str">
            <v>(E10)</v>
          </cell>
          <cell r="L404" t="str">
            <v>B.</v>
          </cell>
          <cell r="N404" t="str">
            <v>BAHAN</v>
          </cell>
        </row>
        <row r="405">
          <cell r="C405" t="str">
            <v>Kapasitas Bucket</v>
          </cell>
          <cell r="G405" t="str">
            <v>V</v>
          </cell>
          <cell r="H405">
            <v>0.93</v>
          </cell>
          <cell r="I405" t="str">
            <v>M3</v>
          </cell>
        </row>
        <row r="406">
          <cell r="C406" t="str">
            <v>Faktor Bucket</v>
          </cell>
          <cell r="G406" t="str">
            <v>Fb</v>
          </cell>
          <cell r="H406">
            <v>0.9</v>
          </cell>
          <cell r="I406" t="str">
            <v>-</v>
          </cell>
          <cell r="L406" t="str">
            <v>1.</v>
          </cell>
          <cell r="N406" t="str">
            <v xml:space="preserve">Urugan Pilihan </v>
          </cell>
          <cell r="O406" t="str">
            <v>(EI-322)</v>
          </cell>
          <cell r="P406" t="str">
            <v>M3</v>
          </cell>
          <cell r="Q406">
            <v>0.5</v>
          </cell>
          <cell r="R406">
            <v>455558.60740011773</v>
          </cell>
          <cell r="U406">
            <v>227779.30370005887</v>
          </cell>
        </row>
        <row r="407">
          <cell r="C407" t="str">
            <v>Faktor  Efisiensi alat</v>
          </cell>
          <cell r="G407" t="str">
            <v>Fa</v>
          </cell>
          <cell r="H407">
            <v>0.83</v>
          </cell>
          <cell r="I407" t="str">
            <v>-</v>
          </cell>
        </row>
        <row r="408">
          <cell r="C408" t="str">
            <v>Faktor kedalaman</v>
          </cell>
          <cell r="G408" t="str">
            <v>Fd</v>
          </cell>
          <cell r="H408">
            <v>0.65</v>
          </cell>
          <cell r="I408" t="str">
            <v>-</v>
          </cell>
        </row>
        <row r="409">
          <cell r="C409" t="str">
            <v>Berat isi material</v>
          </cell>
          <cell r="G409" t="str">
            <v>Bim</v>
          </cell>
          <cell r="H409">
            <v>0.85</v>
          </cell>
          <cell r="I409" t="str">
            <v>-</v>
          </cell>
        </row>
        <row r="411">
          <cell r="C411" t="str">
            <v>Waktu siklus</v>
          </cell>
        </row>
        <row r="412">
          <cell r="C412" t="str">
            <v>- Menggali / memuat</v>
          </cell>
          <cell r="G412" t="str">
            <v>Te1</v>
          </cell>
          <cell r="H412">
            <v>0.55000000000000004</v>
          </cell>
          <cell r="I412" t="str">
            <v>menit</v>
          </cell>
          <cell r="Q412" t="str">
            <v xml:space="preserve">JUMLAH HARGA BAHAN   </v>
          </cell>
          <cell r="U412">
            <v>227779.30370005887</v>
          </cell>
        </row>
        <row r="413">
          <cell r="C413" t="str">
            <v>- Lain-lain</v>
          </cell>
          <cell r="G413" t="str">
            <v>Te2</v>
          </cell>
          <cell r="H413">
            <v>0.25</v>
          </cell>
          <cell r="I413" t="str">
            <v>menit</v>
          </cell>
        </row>
        <row r="414">
          <cell r="G414" t="str">
            <v>Te</v>
          </cell>
          <cell r="H414">
            <v>0.8</v>
          </cell>
          <cell r="I414" t="str">
            <v>menit</v>
          </cell>
          <cell r="L414" t="str">
            <v>C.</v>
          </cell>
          <cell r="N414" t="str">
            <v>PERALATAN</v>
          </cell>
        </row>
        <row r="415">
          <cell r="L415" t="str">
            <v>1.</v>
          </cell>
          <cell r="N415" t="str">
            <v>Excavator</v>
          </cell>
          <cell r="O415" t="str">
            <v>(E10)</v>
          </cell>
          <cell r="P415" t="str">
            <v>Jam</v>
          </cell>
          <cell r="Q415">
            <v>4.1685416962616836E-2</v>
          </cell>
          <cell r="R415">
            <v>238185.05650827778</v>
          </cell>
          <cell r="U415">
            <v>9928.8433948120128</v>
          </cell>
        </row>
        <row r="416">
          <cell r="L416" t="str">
            <v>2.</v>
          </cell>
          <cell r="N416" t="str">
            <v>Bulldozer</v>
          </cell>
          <cell r="O416" t="str">
            <v>(E04)</v>
          </cell>
          <cell r="P416" t="str">
            <v>Jam</v>
          </cell>
          <cell r="Q416">
            <v>1.0213694283306062E-4</v>
          </cell>
          <cell r="R416">
            <v>256721.09983229413</v>
          </cell>
          <cell r="U416">
            <v>26.220708297611473</v>
          </cell>
        </row>
        <row r="417">
          <cell r="C417" t="str">
            <v>Kap. Prod. / jam =</v>
          </cell>
          <cell r="D417" t="str">
            <v>V  x Fb x Fa x Fd x Bim x 60</v>
          </cell>
          <cell r="G417" t="str">
            <v>Q1</v>
          </cell>
          <cell r="H417">
            <v>23.989204687500003</v>
          </cell>
          <cell r="I417" t="str">
            <v>M3/Jam</v>
          </cell>
          <cell r="L417" t="str">
            <v>3.</v>
          </cell>
          <cell r="N417" t="str">
            <v>Alat  bantu</v>
          </cell>
          <cell r="P417" t="str">
            <v>Ls</v>
          </cell>
          <cell r="Q417">
            <v>1</v>
          </cell>
          <cell r="R417">
            <v>200</v>
          </cell>
          <cell r="U417">
            <v>200</v>
          </cell>
        </row>
        <row r="418">
          <cell r="D418" t="str">
            <v>Te x Fh</v>
          </cell>
        </row>
        <row r="420">
          <cell r="C420" t="str">
            <v>Koefisien Alat / M3</v>
          </cell>
          <cell r="D420" t="str">
            <v xml:space="preserve"> =  1  :  Q1</v>
          </cell>
          <cell r="G420" t="str">
            <v>(E10)</v>
          </cell>
          <cell r="H420">
            <v>4.1685416962616836E-2</v>
          </cell>
          <cell r="I420" t="str">
            <v>Jam</v>
          </cell>
        </row>
        <row r="423">
          <cell r="A423" t="str">
            <v>2.a.</v>
          </cell>
          <cell r="C423" t="str">
            <v>BULLDOZER</v>
          </cell>
          <cell r="G423" t="str">
            <v>(E04)</v>
          </cell>
        </row>
        <row r="424">
          <cell r="C424" t="str">
            <v>Faktor pisau (blade)</v>
          </cell>
          <cell r="G424" t="str">
            <v>Fb</v>
          </cell>
          <cell r="H424">
            <v>1</v>
          </cell>
          <cell r="I424" t="str">
            <v>-</v>
          </cell>
          <cell r="Q424" t="str">
            <v xml:space="preserve">JUMLAH HARGA PERALATAN   </v>
          </cell>
          <cell r="U424">
            <v>10155.064103109624</v>
          </cell>
        </row>
        <row r="425">
          <cell r="C425" t="str">
            <v>Faktor  efisiensi kerja</v>
          </cell>
          <cell r="G425" t="str">
            <v>Fa</v>
          </cell>
          <cell r="H425">
            <v>0.83</v>
          </cell>
          <cell r="I425" t="str">
            <v>-</v>
          </cell>
        </row>
        <row r="426">
          <cell r="C426" t="str">
            <v>Kecepatan mengupas</v>
          </cell>
          <cell r="G426" t="str">
            <v>Vf</v>
          </cell>
          <cell r="H426">
            <v>3</v>
          </cell>
          <cell r="I426" t="str">
            <v>Km/Jam</v>
          </cell>
          <cell r="L426" t="str">
            <v>D.</v>
          </cell>
          <cell r="N426" t="str">
            <v>JUMLAH HARGA TENAGA, BAHAN DAN PERALATAN  ( A + B + C )</v>
          </cell>
          <cell r="U426">
            <v>239259.36754426296</v>
          </cell>
        </row>
        <row r="427">
          <cell r="C427" t="str">
            <v>Kecepatan mundur</v>
          </cell>
          <cell r="G427" t="str">
            <v>Vr</v>
          </cell>
          <cell r="H427">
            <v>5</v>
          </cell>
          <cell r="I427" t="str">
            <v>Km/Jam</v>
          </cell>
          <cell r="L427" t="str">
            <v>E.</v>
          </cell>
          <cell r="N427" t="str">
            <v>OVERHEAD &amp; PROFIT</v>
          </cell>
          <cell r="P427">
            <v>10</v>
          </cell>
          <cell r="Q427" t="str">
            <v>%  x  D</v>
          </cell>
          <cell r="U427">
            <v>23925.936754426297</v>
          </cell>
        </row>
        <row r="428">
          <cell r="C428" t="str">
            <v>Kapasitas pisau</v>
          </cell>
          <cell r="G428" t="str">
            <v>q</v>
          </cell>
          <cell r="H428">
            <v>5.4</v>
          </cell>
          <cell r="I428" t="str">
            <v>M3</v>
          </cell>
          <cell r="L428" t="str">
            <v>F.</v>
          </cell>
          <cell r="N428" t="str">
            <v>HARGA SATUAN PEKERJAAN  ( D + E )</v>
          </cell>
          <cell r="U428">
            <v>263185.30429868924</v>
          </cell>
        </row>
        <row r="429">
          <cell r="A429" t="str">
            <v>`</v>
          </cell>
          <cell r="C429" t="str">
            <v>Faktor kemiringan (grade)</v>
          </cell>
          <cell r="G429" t="str">
            <v>Fm</v>
          </cell>
          <cell r="H429">
            <v>1</v>
          </cell>
          <cell r="L429" t="str">
            <v>Note: 1</v>
          </cell>
          <cell r="N429" t="str">
            <v>SATUAN dapat berdasarkan atas jam operasi untuk Tenaga Kerja dan Peralatan, volume dan/atau ukuran</v>
          </cell>
        </row>
        <row r="430">
          <cell r="N430" t="str">
            <v>berat untuk bahan-bahan.</v>
          </cell>
        </row>
        <row r="431">
          <cell r="L431">
            <v>2</v>
          </cell>
          <cell r="N431" t="str">
            <v>Kuantitas satuan adalah kuantitas setiap komponen untuk menyelesaikan satu satuan pekerjaan dari nomor</v>
          </cell>
        </row>
        <row r="432">
          <cell r="N432" t="str">
            <v>mata pembayaran.</v>
          </cell>
        </row>
        <row r="433">
          <cell r="L433">
            <v>3</v>
          </cell>
          <cell r="N433" t="str">
            <v>Biaya satuan untuk peralatan sudah termasuk bahan bakar, bahan habis dipakai dan operator.</v>
          </cell>
        </row>
        <row r="434">
          <cell r="L434">
            <v>4</v>
          </cell>
          <cell r="N434" t="str">
            <v>Biaya satuan sudah termasuk pengeluaran untuk seluruh pajak yang berkaitan (tetapi tidak termasuk PPN</v>
          </cell>
        </row>
        <row r="435">
          <cell r="J435" t="str">
            <v>Berlanjut ke halaman berikut</v>
          </cell>
          <cell r="N435" t="str">
            <v>yang dibayar dari kontrak) dan biaya-biaya lainnya.</v>
          </cell>
        </row>
        <row r="436">
          <cell r="A436" t="str">
            <v>ITEM PEMBAYARAN NO.</v>
          </cell>
          <cell r="D436" t="str">
            <v>:  3.1 (7)</v>
          </cell>
          <cell r="J436" t="str">
            <v>Analisa EI-314</v>
          </cell>
        </row>
        <row r="437">
          <cell r="A437" t="str">
            <v>JENIS PEKERJAAN</v>
          </cell>
          <cell r="D437" t="str">
            <v>:  Galian Struktur dengan Kedalaman 2 - 4 M</v>
          </cell>
        </row>
        <row r="438">
          <cell r="A438" t="str">
            <v>SATUAN PEMBAYARAN</v>
          </cell>
          <cell r="D438" t="str">
            <v>:  M3</v>
          </cell>
          <cell r="H438" t="str">
            <v xml:space="preserve">         URAIAN ANALISA HARGA SATUAN</v>
          </cell>
        </row>
        <row r="439">
          <cell r="J439" t="str">
            <v>Lanjutan</v>
          </cell>
        </row>
        <row r="441">
          <cell r="A441" t="str">
            <v>No.</v>
          </cell>
          <cell r="C441" t="str">
            <v>U R A I A N</v>
          </cell>
          <cell r="G441" t="str">
            <v>KODE</v>
          </cell>
          <cell r="H441" t="str">
            <v>KOEF.</v>
          </cell>
          <cell r="I441" t="str">
            <v>SATUAN</v>
          </cell>
          <cell r="J441" t="str">
            <v>KETERANGAN</v>
          </cell>
        </row>
        <row r="444">
          <cell r="C444" t="str">
            <v>Waktu Siklus</v>
          </cell>
        </row>
        <row r="445">
          <cell r="C445" t="str">
            <v>- Waktu gusur</v>
          </cell>
          <cell r="D445" t="str">
            <v>= l / Vf</v>
          </cell>
          <cell r="G445" t="str">
            <v>T1</v>
          </cell>
          <cell r="H445">
            <v>1.6666666666666666E-2</v>
          </cell>
          <cell r="I445" t="str">
            <v>menit</v>
          </cell>
        </row>
        <row r="446">
          <cell r="C446" t="str">
            <v>- Waktu kembali</v>
          </cell>
          <cell r="D446" t="str">
            <v>= l / Vr</v>
          </cell>
          <cell r="G446" t="str">
            <v>T2</v>
          </cell>
          <cell r="H446">
            <v>0.01</v>
          </cell>
          <cell r="I446" t="str">
            <v>menit</v>
          </cell>
        </row>
        <row r="447">
          <cell r="C447" t="str">
            <v>- Waktu lain-lain</v>
          </cell>
          <cell r="G447" t="str">
            <v>T3</v>
          </cell>
          <cell r="H447">
            <v>8.0000000000000004E-4</v>
          </cell>
          <cell r="I447" t="str">
            <v>menit</v>
          </cell>
        </row>
        <row r="448">
          <cell r="G448" t="str">
            <v>Ts</v>
          </cell>
          <cell r="H448">
            <v>2.7466666666666664E-2</v>
          </cell>
          <cell r="I448" t="str">
            <v>menit</v>
          </cell>
        </row>
        <row r="450">
          <cell r="C450" t="str">
            <v>Kapasitas Produksi / Jam   =</v>
          </cell>
          <cell r="E450" t="str">
            <v>q x Fb x Fm x Fa x 60/Ts</v>
          </cell>
          <cell r="G450" t="str">
            <v>Q2</v>
          </cell>
          <cell r="H450">
            <v>9790.7766990291275</v>
          </cell>
          <cell r="I450" t="str">
            <v>M3</v>
          </cell>
        </row>
        <row r="453">
          <cell r="C453" t="str">
            <v>Koefisien Alat / M3</v>
          </cell>
          <cell r="D453" t="str">
            <v xml:space="preserve"> =  1  :  Q2</v>
          </cell>
          <cell r="G453" t="str">
            <v>(E04)</v>
          </cell>
          <cell r="H453">
            <v>1.0213694283306062E-4</v>
          </cell>
          <cell r="I453" t="str">
            <v>Jam</v>
          </cell>
        </row>
        <row r="456">
          <cell r="A456" t="str">
            <v>2.d.</v>
          </cell>
          <cell r="C456" t="str">
            <v>ALAT  BANTU</v>
          </cell>
        </row>
        <row r="457">
          <cell r="C457" t="str">
            <v>Diperlukan alat-alat bantu kecil</v>
          </cell>
          <cell r="J457" t="str">
            <v>Lump Sump</v>
          </cell>
        </row>
        <row r="458">
          <cell r="C458" t="str">
            <v>- Pacul</v>
          </cell>
          <cell r="D458" t="str">
            <v>=  2  buah</v>
          </cell>
        </row>
        <row r="459">
          <cell r="C459" t="str">
            <v>- Sekop</v>
          </cell>
          <cell r="D459" t="str">
            <v>=  2  buah</v>
          </cell>
        </row>
        <row r="462">
          <cell r="A462" t="str">
            <v xml:space="preserve">   3.</v>
          </cell>
          <cell r="C462" t="str">
            <v>TENAGA</v>
          </cell>
        </row>
        <row r="463">
          <cell r="C463" t="str">
            <v>Produksi menentukan : EXCAVATOR</v>
          </cell>
          <cell r="G463" t="str">
            <v>Q1</v>
          </cell>
          <cell r="H463">
            <v>23.989204687500003</v>
          </cell>
          <cell r="I463" t="str">
            <v>M3/Jam</v>
          </cell>
        </row>
        <row r="464">
          <cell r="C464" t="str">
            <v>Produksi Galian / hari  =  Tk x Q1</v>
          </cell>
          <cell r="G464" t="str">
            <v>Qt</v>
          </cell>
          <cell r="H464">
            <v>167.92443281250002</v>
          </cell>
          <cell r="I464" t="str">
            <v>M3</v>
          </cell>
        </row>
        <row r="465">
          <cell r="C465" t="str">
            <v>Kebutuhan tenaga :</v>
          </cell>
        </row>
        <row r="466">
          <cell r="D466" t="str">
            <v>- Pekerja</v>
          </cell>
          <cell r="G466" t="str">
            <v>P</v>
          </cell>
          <cell r="H466">
            <v>10</v>
          </cell>
          <cell r="I466" t="str">
            <v>orang</v>
          </cell>
        </row>
        <row r="467">
          <cell r="D467" t="str">
            <v>- Mandor</v>
          </cell>
          <cell r="G467" t="str">
            <v>M</v>
          </cell>
          <cell r="H467">
            <v>1</v>
          </cell>
          <cell r="I467" t="str">
            <v>orang</v>
          </cell>
        </row>
        <row r="469">
          <cell r="C469" t="str">
            <v>Koefisien tenaga / M3   :</v>
          </cell>
        </row>
        <row r="470">
          <cell r="D470" t="str">
            <v>- Pekerja</v>
          </cell>
          <cell r="E470" t="str">
            <v>= (Tk x P) : Qt</v>
          </cell>
          <cell r="G470" t="str">
            <v>(L01)</v>
          </cell>
          <cell r="H470">
            <v>0.41685416962616839</v>
          </cell>
          <cell r="I470" t="str">
            <v>Jam</v>
          </cell>
        </row>
        <row r="471">
          <cell r="D471" t="str">
            <v>- Mandor</v>
          </cell>
          <cell r="E471" t="str">
            <v>= (Tk x M) : Qt</v>
          </cell>
          <cell r="G471" t="str">
            <v>(L03)</v>
          </cell>
          <cell r="H471">
            <v>4.1685416962616843E-2</v>
          </cell>
          <cell r="I471" t="str">
            <v>Jam</v>
          </cell>
        </row>
        <row r="473">
          <cell r="A473" t="str">
            <v>4.</v>
          </cell>
          <cell r="C473" t="str">
            <v>HARGA DASAR SATUAN UPAH, BAHAN DAN ALAT</v>
          </cell>
        </row>
        <row r="474">
          <cell r="C474" t="str">
            <v>Lihat lampiran.</v>
          </cell>
        </row>
        <row r="476">
          <cell r="A476" t="str">
            <v>5.</v>
          </cell>
          <cell r="C476" t="str">
            <v>ANALISA HARGA SATUAN PEKERJAAN</v>
          </cell>
        </row>
        <row r="477">
          <cell r="C477" t="str">
            <v>Lihat perhitungan dalam FORMULIR STANDAR UNTUK</v>
          </cell>
        </row>
        <row r="478">
          <cell r="C478" t="str">
            <v>PEREKEMAN ANALISA MASING-MASING HARGA</v>
          </cell>
        </row>
        <row r="479">
          <cell r="C479" t="str">
            <v>SATUAN.</v>
          </cell>
        </row>
        <row r="480">
          <cell r="C480" t="str">
            <v>Didapat Harga Satuan Pekerjaan :</v>
          </cell>
        </row>
        <row r="482">
          <cell r="C482" t="str">
            <v xml:space="preserve">Rp.  </v>
          </cell>
          <cell r="D482">
            <v>263185.30429868924</v>
          </cell>
          <cell r="E482" t="str">
            <v xml:space="preserve"> / M3</v>
          </cell>
        </row>
        <row r="485">
          <cell r="A485" t="str">
            <v>6.</v>
          </cell>
          <cell r="C485" t="str">
            <v>WAKTU PELAKSANAAN YANG DIPERLUKAN</v>
          </cell>
        </row>
        <row r="486">
          <cell r="C486" t="str">
            <v>Masa Pelaksanaan :</v>
          </cell>
          <cell r="D486" t="str">
            <v>. . . . . . . . . . . .</v>
          </cell>
          <cell r="E486" t="str">
            <v>bulan</v>
          </cell>
        </row>
        <row r="488">
          <cell r="A488" t="str">
            <v>7.</v>
          </cell>
          <cell r="C488" t="str">
            <v>VOLUME PEKERJAAN YANG DIPERLUKAN</v>
          </cell>
        </row>
        <row r="489">
          <cell r="C489" t="str">
            <v>Volume pekerjaan  :</v>
          </cell>
          <cell r="D489">
            <v>133.98901888876969</v>
          </cell>
          <cell r="E489" t="str">
            <v>M3</v>
          </cell>
        </row>
        <row r="1766">
          <cell r="C1766" t="str">
            <v>Faktor efisiensi alat</v>
          </cell>
          <cell r="G1766" t="str">
            <v>Fa</v>
          </cell>
          <cell r="H1766">
            <v>0.83</v>
          </cell>
          <cell r="I1766" t="str">
            <v>-</v>
          </cell>
        </row>
        <row r="1768">
          <cell r="C1768" t="str">
            <v>Kapasitas Prod./Jam   =</v>
          </cell>
          <cell r="D1768" t="str">
            <v>(v x 1000) x b x t x Fa</v>
          </cell>
          <cell r="G1768" t="str">
            <v>Q4</v>
          </cell>
          <cell r="H1768">
            <v>104.58</v>
          </cell>
          <cell r="I1768" t="str">
            <v>M3</v>
          </cell>
        </row>
        <row r="1769">
          <cell r="D1769" t="str">
            <v>n</v>
          </cell>
        </row>
        <row r="1771">
          <cell r="C1771" t="str">
            <v>Koefisien Alat / m3</v>
          </cell>
          <cell r="D1771" t="str">
            <v xml:space="preserve"> =  1  :  Q4</v>
          </cell>
          <cell r="G1771" t="str">
            <v>(E19)</v>
          </cell>
          <cell r="H1771">
            <v>9.5620577548288389E-3</v>
          </cell>
          <cell r="I1771" t="str">
            <v>Jam</v>
          </cell>
        </row>
        <row r="1774">
          <cell r="A1774" t="str">
            <v>2.e.</v>
          </cell>
          <cell r="C1774" t="str">
            <v>WATER TANK TRUCK</v>
          </cell>
          <cell r="G1774" t="str">
            <v>(E23)</v>
          </cell>
        </row>
        <row r="1775">
          <cell r="C1775" t="str">
            <v>Volume tangki air</v>
          </cell>
          <cell r="G1775" t="str">
            <v>V</v>
          </cell>
          <cell r="H1775">
            <v>4</v>
          </cell>
          <cell r="I1775" t="str">
            <v>M3</v>
          </cell>
        </row>
        <row r="1776">
          <cell r="C1776" t="str">
            <v>Kebutuhan air / M3 material padat</v>
          </cell>
          <cell r="G1776" t="str">
            <v>Wc</v>
          </cell>
          <cell r="H1776">
            <v>7.0000000000000007E-2</v>
          </cell>
          <cell r="I1776" t="str">
            <v>M3</v>
          </cell>
        </row>
        <row r="1777">
          <cell r="C1777" t="str">
            <v>Pengisian Tangki / jam</v>
          </cell>
          <cell r="G1777" t="str">
            <v>n</v>
          </cell>
          <cell r="H1777">
            <v>3</v>
          </cell>
          <cell r="I1777" t="str">
            <v>kali</v>
          </cell>
        </row>
        <row r="1778">
          <cell r="C1778" t="str">
            <v>Faktor efisiensi alat</v>
          </cell>
          <cell r="G1778" t="str">
            <v>Fa</v>
          </cell>
          <cell r="H1778">
            <v>0.83</v>
          </cell>
          <cell r="I1778" t="str">
            <v>-</v>
          </cell>
        </row>
        <row r="1780">
          <cell r="C1780" t="str">
            <v>Kapasitas Produksi / Jam   =</v>
          </cell>
          <cell r="E1780" t="str">
            <v>V  x  n x Fa</v>
          </cell>
          <cell r="G1780" t="str">
            <v>Q5</v>
          </cell>
          <cell r="H1780">
            <v>142.28571428571425</v>
          </cell>
          <cell r="I1780" t="str">
            <v>M3</v>
          </cell>
        </row>
        <row r="1781">
          <cell r="E1781" t="str">
            <v xml:space="preserve">     Wc</v>
          </cell>
        </row>
        <row r="1783">
          <cell r="C1783" t="str">
            <v>Koefisien Alat / m3</v>
          </cell>
          <cell r="D1783" t="str">
            <v xml:space="preserve"> =  1  :  Q5</v>
          </cell>
          <cell r="G1783" t="str">
            <v>(E23)</v>
          </cell>
          <cell r="H1783">
            <v>7.0281124497991983E-3</v>
          </cell>
          <cell r="I1783" t="str">
            <v>Jam</v>
          </cell>
        </row>
        <row r="1785">
          <cell r="A1785" t="str">
            <v>2.f.</v>
          </cell>
          <cell r="C1785" t="str">
            <v>ALAT  BANTU</v>
          </cell>
        </row>
        <row r="1786">
          <cell r="C1786" t="str">
            <v>Diperlukan alat-alat bantu kecil</v>
          </cell>
          <cell r="J1786" t="str">
            <v>Lump Sump</v>
          </cell>
        </row>
        <row r="1787">
          <cell r="C1787" t="str">
            <v>- Sekop    =         3   buah</v>
          </cell>
        </row>
        <row r="1791">
          <cell r="J1791" t="str">
            <v>Berlanjut ke halaman berikut</v>
          </cell>
        </row>
        <row r="1792">
          <cell r="A1792" t="str">
            <v>ITEM PEMBAYARAN NO.</v>
          </cell>
          <cell r="D1792" t="str">
            <v>:  3.2 (3)</v>
          </cell>
          <cell r="J1792" t="str">
            <v>Analisa EI-323</v>
          </cell>
        </row>
        <row r="1793">
          <cell r="A1793" t="str">
            <v>JENIS PEKERJAAN</v>
          </cell>
          <cell r="D1793" t="str">
            <v>:  Timbunan Pilihan</v>
          </cell>
        </row>
        <row r="1794">
          <cell r="A1794" t="str">
            <v>SATUAN PEMBAYARAN</v>
          </cell>
          <cell r="D1794" t="str">
            <v>:  M3</v>
          </cell>
          <cell r="H1794" t="str">
            <v xml:space="preserve">         URAIAN ANALISA HARGA SATUAN</v>
          </cell>
        </row>
        <row r="1795">
          <cell r="J1795" t="str">
            <v>Lanjutan</v>
          </cell>
        </row>
        <row r="1797">
          <cell r="A1797" t="str">
            <v>No.</v>
          </cell>
          <cell r="C1797" t="str">
            <v>U R A I A N</v>
          </cell>
          <cell r="G1797" t="str">
            <v>KODE</v>
          </cell>
          <cell r="H1797" t="str">
            <v>KOEF.</v>
          </cell>
          <cell r="I1797" t="str">
            <v>SATUAN</v>
          </cell>
          <cell r="J1797" t="str">
            <v>KETERANGAN</v>
          </cell>
        </row>
        <row r="1800">
          <cell r="A1800" t="str">
            <v xml:space="preserve">   3.</v>
          </cell>
          <cell r="C1800" t="str">
            <v>TENAGA</v>
          </cell>
        </row>
        <row r="1801">
          <cell r="C1801" t="str">
            <v>Produksi menentukan : DUMP TRUCK</v>
          </cell>
          <cell r="G1801" t="str">
            <v>Q1</v>
          </cell>
          <cell r="H1801">
            <v>0.40310830500242839</v>
          </cell>
          <cell r="I1801" t="str">
            <v>M3/Jam</v>
          </cell>
        </row>
        <row r="1802">
          <cell r="C1802" t="str">
            <v>Produksi Timbunan / hari  =  Tk x Q1</v>
          </cell>
          <cell r="G1802" t="str">
            <v>Qt</v>
          </cell>
          <cell r="H1802">
            <v>2.8217581350169989</v>
          </cell>
          <cell r="I1802" t="str">
            <v>M3</v>
          </cell>
        </row>
        <row r="1803">
          <cell r="C1803" t="str">
            <v>Kebutuhan tenaga :</v>
          </cell>
        </row>
        <row r="1804">
          <cell r="D1804" t="str">
            <v>- Pekerja</v>
          </cell>
          <cell r="G1804" t="str">
            <v>P</v>
          </cell>
          <cell r="H1804">
            <v>4</v>
          </cell>
          <cell r="I1804" t="str">
            <v>orang</v>
          </cell>
        </row>
        <row r="1805">
          <cell r="D1805" t="str">
            <v>- Mandor</v>
          </cell>
          <cell r="G1805" t="str">
            <v>M</v>
          </cell>
          <cell r="H1805">
            <v>1</v>
          </cell>
          <cell r="I1805" t="str">
            <v>orang</v>
          </cell>
        </row>
        <row r="1808">
          <cell r="C1808" t="str">
            <v>Koefisien tenaga / M3   :</v>
          </cell>
        </row>
        <row r="1809">
          <cell r="D1809" t="str">
            <v>- Pekerja</v>
          </cell>
          <cell r="E1809" t="str">
            <v>= (Tk x P) : Qt</v>
          </cell>
          <cell r="G1809" t="str">
            <v>(L01)</v>
          </cell>
          <cell r="H1809">
            <v>9.9228915662650596</v>
          </cell>
          <cell r="I1809" t="str">
            <v>Jam</v>
          </cell>
        </row>
        <row r="1810">
          <cell r="D1810" t="str">
            <v>- Mandor</v>
          </cell>
          <cell r="E1810" t="str">
            <v>= (Tk x M) : Qt</v>
          </cell>
          <cell r="G1810" t="str">
            <v>(L03)</v>
          </cell>
          <cell r="H1810">
            <v>2.4807228915662649</v>
          </cell>
          <cell r="I1810" t="str">
            <v>Jam</v>
          </cell>
        </row>
        <row r="1813">
          <cell r="A1813" t="str">
            <v>4.</v>
          </cell>
          <cell r="C1813" t="str">
            <v>HARGA DASAR SATUAN UPAH, BAHAN DAN ALAT</v>
          </cell>
        </row>
        <row r="1814">
          <cell r="C1814" t="str">
            <v>Lihat lampiran.</v>
          </cell>
        </row>
        <row r="1817">
          <cell r="A1817" t="str">
            <v>5.</v>
          </cell>
          <cell r="C1817" t="str">
            <v>ANALISA HARGA SATUAN PEKERJAAN</v>
          </cell>
        </row>
        <row r="1818">
          <cell r="C1818" t="str">
            <v>Lihat perhitungan dalam FORMULIR STANDAR UNTUK</v>
          </cell>
        </row>
        <row r="1819">
          <cell r="C1819" t="str">
            <v>PEREKEMAN ANALISA MASING-MASING HARGA</v>
          </cell>
        </row>
        <row r="1820">
          <cell r="C1820" t="str">
            <v>SATUAN.</v>
          </cell>
        </row>
        <row r="1821">
          <cell r="C1821" t="str">
            <v>Didapat Harga Satuan Pekerjaan :</v>
          </cell>
        </row>
        <row r="1823">
          <cell r="C1823" t="str">
            <v xml:space="preserve">Rp.  </v>
          </cell>
          <cell r="D1823">
            <v>501114.46814012952</v>
          </cell>
          <cell r="E1823" t="str">
            <v xml:space="preserve"> / M3.</v>
          </cell>
        </row>
        <row r="1826">
          <cell r="A1826" t="str">
            <v>6.</v>
          </cell>
          <cell r="C1826" t="str">
            <v>WAKTU PELAKSANAAN YANG DIPERLUKAN</v>
          </cell>
        </row>
        <row r="1827">
          <cell r="C1827" t="str">
            <v>Masa Pelaksanaan :</v>
          </cell>
          <cell r="D1827" t="str">
            <v>. . . . . . . . . . . .</v>
          </cell>
          <cell r="E1827" t="str">
            <v>bulan</v>
          </cell>
        </row>
        <row r="1829">
          <cell r="A1829" t="str">
            <v>7.</v>
          </cell>
          <cell r="C1829" t="str">
            <v>VOLUME PEKERJAAN YANG DIPERLUKAN</v>
          </cell>
        </row>
        <row r="1830">
          <cell r="C1830" t="str">
            <v>Volume pekerjaan  :</v>
          </cell>
          <cell r="D1830">
            <v>1</v>
          </cell>
          <cell r="E1830" t="str">
            <v>M3</v>
          </cell>
        </row>
        <row r="1851">
          <cell r="A1851" t="str">
            <v>ITEM PEMBAYARAN NO.</v>
          </cell>
          <cell r="D1851" t="str">
            <v>:  3.2 (4)</v>
          </cell>
          <cell r="J1851" t="str">
            <v>Analisa EI-324</v>
          </cell>
        </row>
        <row r="1852">
          <cell r="A1852" t="str">
            <v>JENIS PEKERJAAN</v>
          </cell>
          <cell r="D1852" t="str">
            <v>:  Timb. Pilihan Di Atas Tnh. Rawa</v>
          </cell>
        </row>
        <row r="1853">
          <cell r="A1853" t="str">
            <v>SATUAN PEMBAYARAN</v>
          </cell>
          <cell r="D1853" t="str">
            <v>:  M3</v>
          </cell>
          <cell r="H1853" t="str">
            <v xml:space="preserve">         URAIAN ANALISA HARGA SATUAN</v>
          </cell>
        </row>
        <row r="1856">
          <cell r="A1856" t="str">
            <v>No.</v>
          </cell>
          <cell r="C1856" t="str">
            <v>U R A I A N</v>
          </cell>
          <cell r="G1856" t="str">
            <v>KODE</v>
          </cell>
          <cell r="H1856" t="str">
            <v>KOEF.</v>
          </cell>
          <cell r="I1856" t="str">
            <v>SATUAN</v>
          </cell>
          <cell r="J1856" t="str">
            <v>KETERANGAN</v>
          </cell>
        </row>
        <row r="1859">
          <cell r="A1859" t="str">
            <v>I.</v>
          </cell>
          <cell r="C1859" t="str">
            <v>ASUMSI</v>
          </cell>
        </row>
        <row r="1860">
          <cell r="A1860">
            <v>1</v>
          </cell>
          <cell r="C1860" t="str">
            <v>Pekerjaan dilakukan secara mekanis</v>
          </cell>
        </row>
        <row r="1861">
          <cell r="A1861">
            <v>2</v>
          </cell>
          <cell r="C1861" t="str">
            <v>Lokasi pekerjaan : di atas tanah rawa</v>
          </cell>
        </row>
        <row r="1862">
          <cell r="A1862">
            <v>3</v>
          </cell>
          <cell r="C1862" t="str">
            <v>Kondisi Jalan   :  sedang / baik</v>
          </cell>
        </row>
        <row r="1863">
          <cell r="A1863">
            <v>4</v>
          </cell>
          <cell r="C1863" t="str">
            <v>Jam kerja efektif per-hari</v>
          </cell>
          <cell r="G1863" t="str">
            <v>Tk</v>
          </cell>
          <cell r="H1863">
            <v>7</v>
          </cell>
          <cell r="I1863" t="str">
            <v>Jam</v>
          </cell>
        </row>
        <row r="1864">
          <cell r="A1864">
            <v>5</v>
          </cell>
          <cell r="C1864" t="str">
            <v>Faktor pengembangan bahan</v>
          </cell>
          <cell r="G1864" t="str">
            <v>Fk</v>
          </cell>
          <cell r="H1864">
            <v>1.2</v>
          </cell>
          <cell r="I1864" t="str">
            <v>-</v>
          </cell>
        </row>
        <row r="1867">
          <cell r="A1867" t="str">
            <v>II.</v>
          </cell>
          <cell r="C1867" t="str">
            <v>URUTAN KERJA</v>
          </cell>
        </row>
        <row r="1869">
          <cell r="A1869">
            <v>1</v>
          </cell>
          <cell r="C1869" t="str">
            <v>Whell Loader memuat ke dalam Dump Truck</v>
          </cell>
        </row>
        <row r="1870">
          <cell r="A1870">
            <v>2</v>
          </cell>
          <cell r="C1870" t="str">
            <v>Dump Truck mengangkut material pilihan</v>
          </cell>
        </row>
        <row r="1871">
          <cell r="C1871" t="str">
            <v>ke lapangan dimana : jarak quari ke lapangan</v>
          </cell>
          <cell r="G1871" t="str">
            <v>L</v>
          </cell>
          <cell r="H1871">
            <v>10</v>
          </cell>
          <cell r="I1871" t="str">
            <v>Km</v>
          </cell>
        </row>
        <row r="1872">
          <cell r="A1872">
            <v>3</v>
          </cell>
          <cell r="C1872" t="str">
            <v>Dump Truck menuang material pilihan di lokasi rawa</v>
          </cell>
        </row>
        <row r="1873">
          <cell r="C1873" t="str">
            <v>yang telah ditetapkan mulai dari tepian rawa hingga</v>
          </cell>
        </row>
        <row r="1874">
          <cell r="C1874" t="str">
            <v>permukaan timbunan mencapai permukaan air rawa.</v>
          </cell>
        </row>
        <row r="1875">
          <cell r="A1875">
            <v>4</v>
          </cell>
          <cell r="C1875" t="str">
            <v>Sekelompok pekerja merapikan timbunan</v>
          </cell>
        </row>
        <row r="1876">
          <cell r="A1876">
            <v>5</v>
          </cell>
          <cell r="C1876" t="str">
            <v>Geotekstil atau batangan kayu (bila diperlukan)</v>
          </cell>
        </row>
        <row r="1877">
          <cell r="C1877" t="str">
            <v>dianggap telah terpasang</v>
          </cell>
        </row>
        <row r="1879">
          <cell r="A1879" t="str">
            <v>III.</v>
          </cell>
          <cell r="C1879" t="str">
            <v>PEMAKAIAN BAHAN, ALAT DAN TENAGA</v>
          </cell>
        </row>
        <row r="1880">
          <cell r="A1880" t="str">
            <v xml:space="preserve">   1.</v>
          </cell>
          <cell r="C1880" t="str">
            <v>BAHAN</v>
          </cell>
        </row>
        <row r="1881">
          <cell r="A1881" t="str">
            <v>1.a.</v>
          </cell>
          <cell r="C1881" t="str">
            <v>Bahan pilihan</v>
          </cell>
          <cell r="G1881" t="str">
            <v>(M09)</v>
          </cell>
          <cell r="H1881">
            <v>1</v>
          </cell>
          <cell r="I1881" t="str">
            <v>M3</v>
          </cell>
        </row>
        <row r="1883">
          <cell r="A1883" t="str">
            <v xml:space="preserve">   2.</v>
          </cell>
          <cell r="C1883" t="str">
            <v>ALAT</v>
          </cell>
        </row>
        <row r="1885">
          <cell r="A1885" t="str">
            <v xml:space="preserve">   2.a.</v>
          </cell>
          <cell r="C1885" t="str">
            <v>DUMP TRUCK</v>
          </cell>
          <cell r="G1885" t="str">
            <v>(E09)</v>
          </cell>
        </row>
        <row r="1886">
          <cell r="C1886" t="str">
            <v>Kapasitas bak</v>
          </cell>
          <cell r="G1886" t="str">
            <v>V</v>
          </cell>
          <cell r="H1886">
            <v>1.9444444444444444</v>
          </cell>
          <cell r="I1886" t="str">
            <v>M3</v>
          </cell>
        </row>
        <row r="1887">
          <cell r="C1887" t="str">
            <v>Faktor  efisiensi alat</v>
          </cell>
          <cell r="G1887" t="str">
            <v>Fa</v>
          </cell>
          <cell r="H1887">
            <v>0.83</v>
          </cell>
          <cell r="I1887" t="str">
            <v>-</v>
          </cell>
          <cell r="Q1887" t="str">
            <v xml:space="preserve">JUMLAH HARGA BAHAN   </v>
          </cell>
          <cell r="U1887">
            <v>25000</v>
          </cell>
        </row>
        <row r="1888">
          <cell r="C1888" t="str">
            <v>Kecepatan rata-rata bermuatan</v>
          </cell>
          <cell r="G1888" t="str">
            <v>v1</v>
          </cell>
          <cell r="H1888">
            <v>45</v>
          </cell>
          <cell r="I1888" t="str">
            <v>KM/Jam</v>
          </cell>
        </row>
        <row r="1889">
          <cell r="C1889" t="str">
            <v>Kecepatan rata-rata kosong</v>
          </cell>
          <cell r="G1889" t="str">
            <v>v2</v>
          </cell>
          <cell r="H1889">
            <v>60</v>
          </cell>
          <cell r="I1889" t="str">
            <v>KM/Jam</v>
          </cell>
          <cell r="L1889" t="str">
            <v>C.</v>
          </cell>
          <cell r="N1889" t="str">
            <v>PERALATAN</v>
          </cell>
        </row>
        <row r="1890">
          <cell r="C1890" t="str">
            <v>Waktusiklus :</v>
          </cell>
          <cell r="G1890" t="str">
            <v>Ts2</v>
          </cell>
          <cell r="L1890" t="str">
            <v>1.</v>
          </cell>
          <cell r="N1890" t="str">
            <v>Dump Truck</v>
          </cell>
          <cell r="O1890" t="str">
            <v>(E08)</v>
          </cell>
          <cell r="P1890" t="str">
            <v>Jam</v>
          </cell>
          <cell r="Q1890">
            <v>0.27194492254733216</v>
          </cell>
          <cell r="R1890">
            <v>153645.58193291764</v>
          </cell>
          <cell r="U1890">
            <v>41783.135878487068</v>
          </cell>
        </row>
        <row r="1891">
          <cell r="C1891" t="str">
            <v>-  Waktu tempuh isi   = (L : v1) x 60</v>
          </cell>
          <cell r="G1891" t="str">
            <v>T1</v>
          </cell>
          <cell r="H1891">
            <v>13.333333333333332</v>
          </cell>
          <cell r="I1891" t="str">
            <v>menit</v>
          </cell>
          <cell r="L1891" t="str">
            <v>2.</v>
          </cell>
          <cell r="N1891" t="str">
            <v>Whell  Loader</v>
          </cell>
          <cell r="O1891" t="str">
            <v>(E15)</v>
          </cell>
          <cell r="P1891" t="str">
            <v>Jam</v>
          </cell>
          <cell r="Q1891">
            <v>1.4874312063067082E-2</v>
          </cell>
          <cell r="R1891">
            <v>163808.13869490434</v>
          </cell>
          <cell r="U1891">
            <v>2436.5333734181813</v>
          </cell>
        </row>
        <row r="1892">
          <cell r="C1892" t="str">
            <v>-  Waktu tempuh kosong   = (L : v2) x 60</v>
          </cell>
          <cell r="G1892" t="str">
            <v>T2</v>
          </cell>
          <cell r="H1892">
            <v>10</v>
          </cell>
          <cell r="I1892" t="str">
            <v>menit</v>
          </cell>
          <cell r="L1892" t="str">
            <v>3.</v>
          </cell>
          <cell r="N1892" t="str">
            <v>Alat  Bantu</v>
          </cell>
          <cell r="P1892" t="str">
            <v>Ls</v>
          </cell>
          <cell r="Q1892">
            <v>1</v>
          </cell>
          <cell r="R1892">
            <v>100</v>
          </cell>
          <cell r="U1892">
            <v>100</v>
          </cell>
        </row>
        <row r="1893">
          <cell r="C1893" t="str">
            <v>- Lain-lain</v>
          </cell>
          <cell r="G1893" t="str">
            <v>T3</v>
          </cell>
          <cell r="H1893">
            <v>3</v>
          </cell>
          <cell r="I1893" t="str">
            <v>menit</v>
          </cell>
        </row>
        <row r="1894">
          <cell r="G1894" t="str">
            <v>Ts1</v>
          </cell>
          <cell r="H1894">
            <v>26.333333333333332</v>
          </cell>
          <cell r="I1894" t="str">
            <v>menit</v>
          </cell>
        </row>
        <row r="1896">
          <cell r="C1896" t="str">
            <v>Kapasitas Produksi / Jam   =</v>
          </cell>
          <cell r="E1896" t="str">
            <v>V x Fa x 60</v>
          </cell>
          <cell r="G1896" t="str">
            <v>Q1</v>
          </cell>
          <cell r="H1896">
            <v>3.6772151898734178</v>
          </cell>
          <cell r="I1896" t="str">
            <v>M3/Jam</v>
          </cell>
        </row>
        <row r="1897">
          <cell r="E1897" t="str">
            <v>Ts1</v>
          </cell>
        </row>
        <row r="1898">
          <cell r="Q1898" t="str">
            <v xml:space="preserve">JUMLAH HARGA PERALATAN   </v>
          </cell>
          <cell r="U1898">
            <v>44319.669251905252</v>
          </cell>
        </row>
        <row r="1899">
          <cell r="C1899" t="str">
            <v>Koefisien Alat / M3</v>
          </cell>
          <cell r="D1899" t="str">
            <v xml:space="preserve"> =  1  :  Q1</v>
          </cell>
          <cell r="G1899" t="str">
            <v>(E08)</v>
          </cell>
          <cell r="H1899">
            <v>0.27194492254733216</v>
          </cell>
          <cell r="I1899" t="str">
            <v>Jam</v>
          </cell>
        </row>
        <row r="1900">
          <cell r="L1900" t="str">
            <v>D.</v>
          </cell>
          <cell r="N1900" t="str">
            <v>JUMLAH HARGA TENAGA, BAHAN DAN PERALATAN  ( A + B + C )</v>
          </cell>
          <cell r="U1900">
            <v>71747.748529013697</v>
          </cell>
        </row>
        <row r="1901">
          <cell r="L1901" t="str">
            <v>E.</v>
          </cell>
          <cell r="N1901" t="str">
            <v>OVERHEAD &amp; PROFIT</v>
          </cell>
          <cell r="P1901">
            <v>10</v>
          </cell>
          <cell r="Q1901" t="str">
            <v>%  x  D</v>
          </cell>
          <cell r="U1901">
            <v>7174.7748529013697</v>
          </cell>
        </row>
        <row r="1902">
          <cell r="A1902" t="str">
            <v>2.b.</v>
          </cell>
          <cell r="C1902" t="str">
            <v>ALAT  BANTU</v>
          </cell>
          <cell r="L1902" t="str">
            <v>F.</v>
          </cell>
          <cell r="N1902" t="str">
            <v>HARGA SATUAN PEKERJAAN  ( D + E )</v>
          </cell>
          <cell r="U1902">
            <v>78922.52338191506</v>
          </cell>
        </row>
        <row r="1903">
          <cell r="C1903" t="str">
            <v>Diperlukan alat-alat bantu kecil</v>
          </cell>
          <cell r="J1903" t="str">
            <v>Lump Sump</v>
          </cell>
          <cell r="L1903" t="str">
            <v>Note: 1</v>
          </cell>
          <cell r="N1903" t="str">
            <v>SATUAN dapat berdasarkan atas jam operasi untuk Tenaga Kerja dan Peralatan, volume dan/atau ukuran</v>
          </cell>
        </row>
        <row r="1904">
          <cell r="C1904" t="str">
            <v>- Sekop    =         3   buah</v>
          </cell>
          <cell r="N1904" t="str">
            <v>berat untuk bahan-bahan.</v>
          </cell>
        </row>
        <row r="1905">
          <cell r="L1905">
            <v>2</v>
          </cell>
          <cell r="N1905" t="str">
            <v>Kuantitas satuan adalah kuantitas setiap komponen untuk menyelesaikan satu satuan pekerjaan dari nomor</v>
          </cell>
        </row>
        <row r="1906">
          <cell r="N1906" t="str">
            <v>mata pembayaran.</v>
          </cell>
        </row>
        <row r="1907">
          <cell r="L1907">
            <v>3</v>
          </cell>
          <cell r="N1907" t="str">
            <v>Biaya satuan untuk peralatan sudah termasuk bahan bakar, bahan habis dipakai dan operator.</v>
          </cell>
        </row>
        <row r="1908">
          <cell r="L1908">
            <v>4</v>
          </cell>
          <cell r="N1908" t="str">
            <v>Biaya satuan sudah termasuk pengeluaran untuk seluruh pajak yang berkaitan (tetapi tidak termasuk PPN</v>
          </cell>
        </row>
        <row r="1909">
          <cell r="N1909" t="str">
            <v>yang dibayar dari kontrak) dan biaya-biaya lainnya.</v>
          </cell>
        </row>
        <row r="1911">
          <cell r="J1911" t="str">
            <v>Berlanjut ke halaman berikut</v>
          </cell>
        </row>
        <row r="1912">
          <cell r="A1912" t="str">
            <v>ITEM PEMBAYARAN NO.</v>
          </cell>
          <cell r="D1912" t="str">
            <v>:  3.2 (4)</v>
          </cell>
          <cell r="J1912" t="str">
            <v>Analisa EI-324</v>
          </cell>
        </row>
        <row r="1913">
          <cell r="A1913" t="str">
            <v>JENIS PEKERJAAN</v>
          </cell>
          <cell r="D1913" t="str">
            <v>:  Timb. Pilihan Di Atas Tnh. Rawa</v>
          </cell>
        </row>
        <row r="1914">
          <cell r="A1914" t="str">
            <v>SATUAN PEMBAYARAN</v>
          </cell>
          <cell r="D1914" t="str">
            <v>:  M3</v>
          </cell>
          <cell r="H1914" t="str">
            <v xml:space="preserve">         URAIAN ANALISA HARGA SATUAN</v>
          </cell>
        </row>
        <row r="1915">
          <cell r="J1915" t="str">
            <v>Lanjutan</v>
          </cell>
        </row>
        <row r="1917">
          <cell r="A1917" t="str">
            <v>No.</v>
          </cell>
          <cell r="C1917" t="str">
            <v>U R A I A N</v>
          </cell>
          <cell r="G1917" t="str">
            <v>KODE</v>
          </cell>
          <cell r="H1917" t="str">
            <v>KOEF.</v>
          </cell>
          <cell r="I1917" t="str">
            <v>SATUAN</v>
          </cell>
          <cell r="J1917" t="str">
            <v>KETERANGAN</v>
          </cell>
        </row>
        <row r="1920">
          <cell r="A1920" t="str">
            <v>2.c.</v>
          </cell>
          <cell r="C1920" t="str">
            <v>WHELL  LOADER</v>
          </cell>
          <cell r="G1920" t="str">
            <v>(E15)</v>
          </cell>
        </row>
        <row r="1921">
          <cell r="C1921" t="str">
            <v>Kapasitas  Bucket</v>
          </cell>
          <cell r="G1921" t="str">
            <v>V</v>
          </cell>
          <cell r="H1921">
            <v>1.5</v>
          </cell>
          <cell r="I1921" t="str">
            <v>M3</v>
          </cell>
        </row>
        <row r="1922">
          <cell r="C1922" t="str">
            <v>Faktor Bucket</v>
          </cell>
          <cell r="G1922" t="str">
            <v>Fb</v>
          </cell>
          <cell r="H1922">
            <v>0.9</v>
          </cell>
          <cell r="I1922" t="str">
            <v>-</v>
          </cell>
        </row>
        <row r="1923">
          <cell r="C1923" t="str">
            <v>Faktor Efisiensi Alat</v>
          </cell>
          <cell r="G1923" t="str">
            <v>Fa</v>
          </cell>
          <cell r="H1923">
            <v>0.83</v>
          </cell>
          <cell r="I1923" t="str">
            <v>-</v>
          </cell>
        </row>
        <row r="1924">
          <cell r="C1924" t="str">
            <v>Waktu sklus</v>
          </cell>
          <cell r="G1924" t="str">
            <v>Ts1</v>
          </cell>
          <cell r="I1924" t="str">
            <v>menit</v>
          </cell>
        </row>
        <row r="1925">
          <cell r="C1925" t="str">
            <v>- Muat</v>
          </cell>
          <cell r="G1925" t="str">
            <v>T1</v>
          </cell>
          <cell r="H1925">
            <v>0.5</v>
          </cell>
          <cell r="I1925" t="str">
            <v>menit</v>
          </cell>
        </row>
        <row r="1926">
          <cell r="C1926" t="str">
            <v>- Lain-lain</v>
          </cell>
          <cell r="G1926" t="str">
            <v>T2</v>
          </cell>
          <cell r="H1926">
            <v>0.5</v>
          </cell>
          <cell r="I1926" t="str">
            <v>menit</v>
          </cell>
        </row>
        <row r="1927">
          <cell r="G1927" t="str">
            <v>Ts2</v>
          </cell>
          <cell r="H1927">
            <v>1</v>
          </cell>
          <cell r="I1927" t="str">
            <v>menit</v>
          </cell>
        </row>
        <row r="1929">
          <cell r="C1929" t="str">
            <v>Kapasitas Produksi / Jam =</v>
          </cell>
          <cell r="E1929" t="str">
            <v>V  x  Fb x Fa x 60</v>
          </cell>
          <cell r="G1929" t="str">
            <v>Q2</v>
          </cell>
          <cell r="H1929">
            <v>67.23</v>
          </cell>
          <cell r="I1929" t="str">
            <v>M3</v>
          </cell>
        </row>
        <row r="1930">
          <cell r="E1930" t="str">
            <v>Ts1</v>
          </cell>
        </row>
        <row r="1932">
          <cell r="C1932" t="str">
            <v>Koefisienalat / M3</v>
          </cell>
          <cell r="D1932" t="str">
            <v xml:space="preserve"> =   1 : Q2</v>
          </cell>
          <cell r="G1932" t="str">
            <v>(E15)</v>
          </cell>
          <cell r="H1932">
            <v>1.4874312063067082E-2</v>
          </cell>
          <cell r="I1932" t="str">
            <v>Jam</v>
          </cell>
        </row>
        <row r="1934">
          <cell r="A1934" t="str">
            <v xml:space="preserve">   3.</v>
          </cell>
          <cell r="C1934" t="str">
            <v>TENAGA</v>
          </cell>
        </row>
        <row r="1935">
          <cell r="C1935" t="str">
            <v>Produksi menentukan : DUMP TRUCK</v>
          </cell>
          <cell r="G1935" t="str">
            <v>Q1</v>
          </cell>
          <cell r="H1935">
            <v>3.6772151898734178</v>
          </cell>
          <cell r="I1935" t="str">
            <v>M3/Jam</v>
          </cell>
        </row>
        <row r="1936">
          <cell r="C1936" t="str">
            <v>Produksi Timbunan / hari  =  Tk x Q1</v>
          </cell>
          <cell r="G1936" t="str">
            <v>Qt</v>
          </cell>
          <cell r="H1936">
            <v>25.740506329113924</v>
          </cell>
          <cell r="I1936" t="str">
            <v>M3</v>
          </cell>
        </row>
        <row r="1937">
          <cell r="C1937" t="str">
            <v>Asumsi permukaan hamparan di permukaan rawa :</v>
          </cell>
        </row>
        <row r="1939">
          <cell r="C1939" t="str">
            <v>Kebutuhan tenaga :</v>
          </cell>
        </row>
        <row r="1940">
          <cell r="D1940" t="str">
            <v>- Pekerja</v>
          </cell>
          <cell r="G1940" t="str">
            <v>P</v>
          </cell>
          <cell r="H1940">
            <v>2</v>
          </cell>
          <cell r="I1940" t="str">
            <v>orang</v>
          </cell>
        </row>
        <row r="1941">
          <cell r="D1941" t="str">
            <v>- Mandor</v>
          </cell>
          <cell r="G1941" t="str">
            <v>M</v>
          </cell>
          <cell r="H1941">
            <v>1</v>
          </cell>
          <cell r="I1941" t="str">
            <v>orang</v>
          </cell>
        </row>
        <row r="1944">
          <cell r="C1944" t="str">
            <v>Koefisien tenaga / M3   :</v>
          </cell>
        </row>
        <row r="1945">
          <cell r="D1945" t="str">
            <v>- Pekerja</v>
          </cell>
          <cell r="E1945" t="str">
            <v>= (Tk x P) : Qt</v>
          </cell>
          <cell r="G1945" t="str">
            <v>(L01)</v>
          </cell>
          <cell r="H1945">
            <v>0.54388984509466443</v>
          </cell>
          <cell r="I1945" t="str">
            <v>Jam</v>
          </cell>
        </row>
        <row r="1946">
          <cell r="D1946" t="str">
            <v>- Mandor</v>
          </cell>
          <cell r="E1946" t="str">
            <v>= (Tk x M) : Qt</v>
          </cell>
          <cell r="G1946" t="str">
            <v>(L02)</v>
          </cell>
          <cell r="H1946">
            <v>0.27194492254733221</v>
          </cell>
          <cell r="I1946" t="str">
            <v>Jam</v>
          </cell>
        </row>
        <row r="1949">
          <cell r="A1949" t="str">
            <v>4.</v>
          </cell>
          <cell r="C1949" t="str">
            <v>HARGA DASAR SATUAN UPAH, BAHAN DAN ALAT</v>
          </cell>
        </row>
        <row r="1950">
          <cell r="C1950" t="str">
            <v>Lihat lampiran.</v>
          </cell>
        </row>
        <row r="1953">
          <cell r="A1953" t="str">
            <v>5.</v>
          </cell>
          <cell r="C1953" t="str">
            <v>ANALISA HARGA SATUAN PEKERJAAN</v>
          </cell>
        </row>
        <row r="1954">
          <cell r="C1954" t="str">
            <v>Lihat perhitungan dalam FORMULIR STANDAR UNTUK</v>
          </cell>
        </row>
        <row r="1955">
          <cell r="C1955" t="str">
            <v>PEREKEMAN ANALISA MASING-MASING HARGA</v>
          </cell>
        </row>
        <row r="1956">
          <cell r="C1956" t="str">
            <v>SATUAN.</v>
          </cell>
        </row>
        <row r="1957">
          <cell r="C1957" t="str">
            <v>Didapat Harga Satuan Pekerjaan :</v>
          </cell>
        </row>
        <row r="1959">
          <cell r="C1959" t="str">
            <v xml:space="preserve">Rp.  </v>
          </cell>
          <cell r="D1959">
            <v>78922.52338191506</v>
          </cell>
          <cell r="E1959" t="str">
            <v xml:space="preserve"> / M3</v>
          </cell>
        </row>
        <row r="1962">
          <cell r="A1962" t="str">
            <v>6.</v>
          </cell>
          <cell r="C1962" t="str">
            <v>WAKTU PELAKSANAAN YANG DIPERLUKAN</v>
          </cell>
        </row>
        <row r="1963">
          <cell r="C1963" t="str">
            <v>Masa Pelaksanaan :</v>
          </cell>
          <cell r="D1963" t="str">
            <v>. . . . . . . . . . . .</v>
          </cell>
          <cell r="E1963" t="str">
            <v>bulan</v>
          </cell>
        </row>
        <row r="1965">
          <cell r="A1965" t="str">
            <v>7.</v>
          </cell>
          <cell r="C1965" t="str">
            <v>VOLUME PEKERJAAN YANG DIPERLUKAN</v>
          </cell>
        </row>
        <row r="1966">
          <cell r="C1966" t="str">
            <v>Volume pekerjaan  :</v>
          </cell>
          <cell r="D1966">
            <v>1</v>
          </cell>
          <cell r="E1966" t="str">
            <v>M3</v>
          </cell>
        </row>
        <row r="1971">
          <cell r="T1971" t="str">
            <v>Analisa EI-331</v>
          </cell>
        </row>
        <row r="1973">
          <cell r="A1973" t="str">
            <v>ITEM PEMBAYARAN NO.</v>
          </cell>
          <cell r="D1973" t="str">
            <v>:  3.3 (1)</v>
          </cell>
          <cell r="J1973" t="str">
            <v>Analisa EI-331</v>
          </cell>
          <cell r="L1973" t="str">
            <v>FORMULIR STANDAR UNTUK</v>
          </cell>
        </row>
        <row r="1974">
          <cell r="A1974" t="str">
            <v>JENIS PEKERJAAN</v>
          </cell>
          <cell r="D1974" t="str">
            <v>:  Penyiapan Badan Jalan pada Galian</v>
          </cell>
          <cell r="L1974" t="str">
            <v>PEREKAMAN ANALISA MASING-MASING HARGA SATUAN</v>
          </cell>
        </row>
        <row r="1975">
          <cell r="A1975" t="str">
            <v>SATUAN PEMBAYARAN</v>
          </cell>
          <cell r="D1975" t="str">
            <v>:  M2</v>
          </cell>
          <cell r="F1975" t="str">
            <v>Biasa</v>
          </cell>
          <cell r="H1975" t="str">
            <v xml:space="preserve">         URAIAN ANALISA HARGA SATUAN</v>
          </cell>
          <cell r="L1975" t="str">
            <v xml:space="preserve">                                                                                                            </v>
          </cell>
        </row>
        <row r="1978">
          <cell r="A1978" t="str">
            <v>No.</v>
          </cell>
          <cell r="C1978" t="str">
            <v>U R A I A N</v>
          </cell>
          <cell r="G1978" t="str">
            <v>KODE</v>
          </cell>
          <cell r="H1978" t="str">
            <v>KOEF.</v>
          </cell>
          <cell r="I1978" t="str">
            <v>SATUAN</v>
          </cell>
          <cell r="J1978" t="str">
            <v>KETERANGAN</v>
          </cell>
          <cell r="L1978" t="str">
            <v>PROYEK</v>
          </cell>
          <cell r="O1978" t="str">
            <v>:</v>
          </cell>
        </row>
        <row r="1979">
          <cell r="L1979" t="str">
            <v>No. PAKET KONTRAK</v>
          </cell>
          <cell r="O1979" t="str">
            <v>:</v>
          </cell>
        </row>
        <row r="1980">
          <cell r="L1980" t="str">
            <v>NAMA PAKET</v>
          </cell>
          <cell r="O1980" t="str">
            <v>:</v>
          </cell>
        </row>
        <row r="1981">
          <cell r="A1981" t="str">
            <v>I.</v>
          </cell>
          <cell r="C1981" t="str">
            <v>ASUMSI</v>
          </cell>
          <cell r="L1981" t="str">
            <v>PROP / KAB / KODYA</v>
          </cell>
          <cell r="O1981" t="str">
            <v>:</v>
          </cell>
        </row>
        <row r="1982">
          <cell r="A1982">
            <v>1</v>
          </cell>
          <cell r="C1982" t="str">
            <v>Pekerjaan dilaksanakan hanya pada tanah  galian</v>
          </cell>
          <cell r="L1982" t="str">
            <v>ITEM PEMBAYARAN NO.</v>
          </cell>
          <cell r="O1982" t="str">
            <v>:  3.3 (1)</v>
          </cell>
          <cell r="R1982" t="str">
            <v>PERKIRAAN VOL. PEK.</v>
          </cell>
          <cell r="T1982" t="str">
            <v>:</v>
          </cell>
          <cell r="U1982">
            <v>1</v>
          </cell>
        </row>
        <row r="1983">
          <cell r="A1983">
            <v>2</v>
          </cell>
          <cell r="C1983" t="str">
            <v>Pekerjaan dilakukan secara mekanis</v>
          </cell>
          <cell r="L1983" t="str">
            <v>JENIS PEKERJAAN</v>
          </cell>
          <cell r="O1983" t="str">
            <v>:  Penyiapan Badan Jalan pada Galian</v>
          </cell>
          <cell r="R1983" t="str">
            <v>TOTAL HARGA (Rp.)</v>
          </cell>
          <cell r="T1983" t="str">
            <v>:</v>
          </cell>
          <cell r="U1983">
            <v>809086.35646871035</v>
          </cell>
        </row>
        <row r="1984">
          <cell r="A1984">
            <v>3</v>
          </cell>
          <cell r="C1984" t="str">
            <v>Lokasi pekerjaan : sepanjang jalan</v>
          </cell>
          <cell r="L1984" t="str">
            <v>SATUAN PEMBAYARAN</v>
          </cell>
          <cell r="O1984" t="str">
            <v>:  M2</v>
          </cell>
          <cell r="Q1984" t="str">
            <v>Biasa</v>
          </cell>
          <cell r="R1984" t="str">
            <v>% THD. BIAYA PROYEK</v>
          </cell>
          <cell r="T1984" t="str">
            <v>:</v>
          </cell>
          <cell r="U1984" t="e">
            <v>#DIV/0!</v>
          </cell>
        </row>
        <row r="1985">
          <cell r="A1985">
            <v>4</v>
          </cell>
          <cell r="C1985" t="str">
            <v>Kondisi Jalan   : jelek / belum padat</v>
          </cell>
        </row>
        <row r="1986">
          <cell r="A1986">
            <v>5</v>
          </cell>
          <cell r="C1986" t="str">
            <v>Jam kerja efektif per-hari</v>
          </cell>
          <cell r="G1986" t="str">
            <v>Tk</v>
          </cell>
          <cell r="H1986">
            <v>7</v>
          </cell>
          <cell r="I1986" t="str">
            <v>Jam</v>
          </cell>
        </row>
        <row r="1987">
          <cell r="Q1987" t="str">
            <v>PERKIRAAN</v>
          </cell>
          <cell r="R1987" t="str">
            <v>HARGA</v>
          </cell>
          <cell r="S1987" t="str">
            <v>JUMLAH</v>
          </cell>
        </row>
        <row r="1988">
          <cell r="L1988" t="str">
            <v>NO.</v>
          </cell>
          <cell r="N1988" t="str">
            <v>KOMPONEN</v>
          </cell>
          <cell r="P1988" t="str">
            <v>SATUAN</v>
          </cell>
          <cell r="Q1988" t="str">
            <v>KUANTITAS</v>
          </cell>
          <cell r="R1988" t="str">
            <v>SATUAN</v>
          </cell>
          <cell r="S1988" t="str">
            <v>HARGA</v>
          </cell>
        </row>
        <row r="1989">
          <cell r="A1989" t="str">
            <v>II.</v>
          </cell>
          <cell r="C1989" t="str">
            <v>URUTAN KERJA</v>
          </cell>
          <cell r="R1989" t="str">
            <v>(Rp.)</v>
          </cell>
          <cell r="S1989" t="str">
            <v>(Rp.)</v>
          </cell>
        </row>
        <row r="1990">
          <cell r="A1990">
            <v>1</v>
          </cell>
          <cell r="C1990" t="str">
            <v>Motor Grader meratakan permukaan hasil galian</v>
          </cell>
        </row>
        <row r="1991">
          <cell r="A1991">
            <v>2</v>
          </cell>
          <cell r="C1991" t="str">
            <v>Vibro Roller memadatkan permukaan yang telah</v>
          </cell>
        </row>
        <row r="1992">
          <cell r="C1992" t="str">
            <v>dipotong/diratakan oleh Motor Grader</v>
          </cell>
          <cell r="L1992" t="str">
            <v>A.</v>
          </cell>
          <cell r="N1992" t="str">
            <v>TENAGA</v>
          </cell>
        </row>
        <row r="1993">
          <cell r="A1993">
            <v>3</v>
          </cell>
          <cell r="C1993" t="str">
            <v>Sekelompok pekerja akan membantu meratakan</v>
          </cell>
        </row>
        <row r="1994">
          <cell r="C1994" t="str">
            <v>badan jalan dengan alat bantu</v>
          </cell>
          <cell r="L1994" t="str">
            <v>1.</v>
          </cell>
          <cell r="N1994" t="str">
            <v>Pekerja</v>
          </cell>
          <cell r="O1994" t="str">
            <v>(L01)</v>
          </cell>
          <cell r="P1994" t="str">
            <v>jam</v>
          </cell>
          <cell r="Q1994">
            <v>1.6064257028112448E-2</v>
          </cell>
          <cell r="R1994">
            <v>2857.14</v>
          </cell>
          <cell r="U1994">
            <v>45.897831325301198</v>
          </cell>
        </row>
        <row r="1995">
          <cell r="L1995" t="str">
            <v>2.</v>
          </cell>
          <cell r="N1995" t="str">
            <v>Mandor</v>
          </cell>
          <cell r="O1995" t="str">
            <v>(L02)</v>
          </cell>
          <cell r="P1995" t="str">
            <v>jam</v>
          </cell>
          <cell r="Q1995">
            <v>4.0160642570281121E-3</v>
          </cell>
          <cell r="R1995">
            <v>3214.29</v>
          </cell>
          <cell r="U1995">
            <v>12.90879518072289</v>
          </cell>
        </row>
        <row r="1998">
          <cell r="Q1998" t="str">
            <v xml:space="preserve">JUMLAH HARGA TENAGA   </v>
          </cell>
          <cell r="U1998">
            <v>58.806626506024088</v>
          </cell>
        </row>
        <row r="2000">
          <cell r="L2000" t="str">
            <v>B.</v>
          </cell>
          <cell r="N2000" t="str">
            <v>BAHAN</v>
          </cell>
        </row>
        <row r="2001">
          <cell r="A2001" t="str">
            <v>III.</v>
          </cell>
          <cell r="C2001" t="str">
            <v>PEMAKAIAN BAHAN, ALAT DAN TENAGA</v>
          </cell>
        </row>
        <row r="2002">
          <cell r="A2002" t="str">
            <v xml:space="preserve">   1.</v>
          </cell>
          <cell r="C2002" t="str">
            <v>BAHAN</v>
          </cell>
        </row>
        <row r="2003">
          <cell r="C2003" t="str">
            <v>Tidak diperlukan bahan / material</v>
          </cell>
        </row>
        <row r="2005">
          <cell r="A2005" t="str">
            <v xml:space="preserve">   2.</v>
          </cell>
          <cell r="C2005" t="str">
            <v>ALAT</v>
          </cell>
        </row>
        <row r="2006">
          <cell r="A2006" t="str">
            <v>2.a.</v>
          </cell>
          <cell r="C2006" t="str">
            <v>MOTOR GRADER</v>
          </cell>
          <cell r="G2006" t="str">
            <v>(E13)</v>
          </cell>
        </row>
        <row r="2007">
          <cell r="C2007" t="str">
            <v>Panjang operasi grader sekali jalan</v>
          </cell>
          <cell r="G2007" t="str">
            <v>Lh</v>
          </cell>
          <cell r="H2007">
            <v>50</v>
          </cell>
          <cell r="I2007" t="str">
            <v>M</v>
          </cell>
        </row>
        <row r="2008">
          <cell r="C2008" t="str">
            <v>Lebar Efektif kerja Blade</v>
          </cell>
          <cell r="G2008" t="str">
            <v>b</v>
          </cell>
          <cell r="H2008">
            <v>2.4</v>
          </cell>
          <cell r="I2008" t="str">
            <v>M</v>
          </cell>
        </row>
        <row r="2009">
          <cell r="C2009" t="str">
            <v>Faktor Efisiensi Alat</v>
          </cell>
          <cell r="G2009" t="str">
            <v>Fa</v>
          </cell>
          <cell r="H2009">
            <v>0.83</v>
          </cell>
          <cell r="I2009" t="str">
            <v>-</v>
          </cell>
        </row>
        <row r="2010">
          <cell r="C2010" t="str">
            <v>Kecepatan rata-rata alat</v>
          </cell>
          <cell r="G2010" t="str">
            <v>v</v>
          </cell>
          <cell r="H2010">
            <v>2</v>
          </cell>
          <cell r="I2010" t="str">
            <v>Km / Jam</v>
          </cell>
        </row>
        <row r="2011">
          <cell r="C2011" t="str">
            <v>Jumlah lintasan</v>
          </cell>
          <cell r="G2011" t="str">
            <v>n</v>
          </cell>
          <cell r="H2011">
            <v>6</v>
          </cell>
          <cell r="I2011" t="str">
            <v>lintasan</v>
          </cell>
        </row>
        <row r="2012">
          <cell r="C2012" t="str">
            <v>Waktu siklus</v>
          </cell>
          <cell r="G2012" t="str">
            <v>Ts1</v>
          </cell>
        </row>
        <row r="2013">
          <cell r="C2013" t="str">
            <v>- Perataan 1 kali lintasan    = Lh : (v x 1000) x 60</v>
          </cell>
          <cell r="G2013" t="str">
            <v>T1</v>
          </cell>
          <cell r="H2013">
            <v>1.5</v>
          </cell>
          <cell r="I2013" t="str">
            <v>menit</v>
          </cell>
        </row>
        <row r="2014">
          <cell r="C2014" t="str">
            <v>- Lain-lain</v>
          </cell>
          <cell r="G2014" t="str">
            <v>T2</v>
          </cell>
          <cell r="H2014">
            <v>1</v>
          </cell>
          <cell r="I2014" t="str">
            <v>menit</v>
          </cell>
        </row>
        <row r="2015">
          <cell r="G2015" t="str">
            <v>Ts1</v>
          </cell>
          <cell r="H2015">
            <v>2.5</v>
          </cell>
          <cell r="I2015" t="str">
            <v>menit</v>
          </cell>
        </row>
        <row r="2017">
          <cell r="C2017" t="str">
            <v>Kapasitas Produksi / Jam   =</v>
          </cell>
          <cell r="E2017" t="str">
            <v>Lh x b x Fa x 60</v>
          </cell>
          <cell r="G2017" t="str">
            <v>Q1</v>
          </cell>
          <cell r="H2017">
            <v>398.4</v>
          </cell>
          <cell r="I2017" t="str">
            <v>M2</v>
          </cell>
        </row>
        <row r="2018">
          <cell r="E2018" t="str">
            <v xml:space="preserve">      n x Ts</v>
          </cell>
        </row>
        <row r="2020">
          <cell r="C2020" t="str">
            <v>Koefisien Alat / m2</v>
          </cell>
          <cell r="D2020" t="str">
            <v xml:space="preserve"> =  1  :  Q1</v>
          </cell>
          <cell r="G2020" t="str">
            <v>(E13)</v>
          </cell>
          <cell r="H2020">
            <v>2.5100401606425703E-3</v>
          </cell>
          <cell r="I2020" t="str">
            <v>Jam</v>
          </cell>
        </row>
        <row r="2022">
          <cell r="A2022" t="str">
            <v>2.b.</v>
          </cell>
          <cell r="C2022" t="str">
            <v>VIBRATOR ROLLER</v>
          </cell>
          <cell r="G2022" t="str">
            <v>(E19)</v>
          </cell>
        </row>
        <row r="2023">
          <cell r="C2023" t="str">
            <v>Kecepatan rata-rata alat</v>
          </cell>
          <cell r="G2023" t="str">
            <v>v</v>
          </cell>
          <cell r="H2023">
            <v>2</v>
          </cell>
          <cell r="I2023" t="str">
            <v>Km / jam</v>
          </cell>
        </row>
        <row r="2024">
          <cell r="C2024" t="str">
            <v>Lebar efektif pemadatan</v>
          </cell>
          <cell r="G2024" t="str">
            <v>b</v>
          </cell>
          <cell r="H2024">
            <v>1.2</v>
          </cell>
          <cell r="I2024" t="str">
            <v>M</v>
          </cell>
        </row>
        <row r="2025">
          <cell r="C2025" t="str">
            <v>Jumlah lintasan</v>
          </cell>
          <cell r="G2025" t="str">
            <v>n</v>
          </cell>
          <cell r="H2025">
            <v>8</v>
          </cell>
          <cell r="I2025" t="str">
            <v>lintasan</v>
          </cell>
        </row>
        <row r="2026">
          <cell r="C2026" t="str">
            <v>Faktor efisiensi alat</v>
          </cell>
          <cell r="G2026" t="str">
            <v>Fa</v>
          </cell>
          <cell r="H2026">
            <v>0.83</v>
          </cell>
          <cell r="I2026" t="str">
            <v>-</v>
          </cell>
        </row>
        <row r="2028">
          <cell r="C2028" t="str">
            <v>Kapasitas Produksi / Jam   =</v>
          </cell>
          <cell r="E2028" t="str">
            <v>(v x 1000) x b x Fa</v>
          </cell>
          <cell r="G2028" t="str">
            <v>Q2</v>
          </cell>
          <cell r="H2028">
            <v>249</v>
          </cell>
          <cell r="I2028" t="str">
            <v>M2</v>
          </cell>
        </row>
        <row r="2029">
          <cell r="E2029" t="str">
            <v>n</v>
          </cell>
        </row>
        <row r="2031">
          <cell r="C2031" t="str">
            <v>Koefisien Alat / m2</v>
          </cell>
          <cell r="D2031" t="str">
            <v xml:space="preserve"> =  1  :  Q2</v>
          </cell>
          <cell r="G2031" t="str">
            <v>(E19)</v>
          </cell>
          <cell r="H2031">
            <v>4.0160642570281121E-3</v>
          </cell>
          <cell r="I2031" t="str">
            <v>Jam</v>
          </cell>
        </row>
        <row r="2033">
          <cell r="J2033" t="str">
            <v>Berlanjut ke halaman berikut</v>
          </cell>
        </row>
        <row r="2034">
          <cell r="A2034" t="str">
            <v>ITEM PEMBAYARAN NO.</v>
          </cell>
          <cell r="D2034" t="str">
            <v>:  3.3 (1)</v>
          </cell>
          <cell r="J2034" t="str">
            <v>Analisa EI-331</v>
          </cell>
        </row>
        <row r="2035">
          <cell r="A2035" t="str">
            <v>JENIS PEKERJAAN</v>
          </cell>
          <cell r="D2035" t="str">
            <v>:  Penyiapan Badan Jalan pada Galian</v>
          </cell>
        </row>
        <row r="2036">
          <cell r="A2036" t="str">
            <v>SATUAN PEMBAYARAN</v>
          </cell>
          <cell r="D2036" t="str">
            <v>:  M2</v>
          </cell>
          <cell r="H2036" t="str">
            <v xml:space="preserve">         URAIAN ANALISA HARGA SATUAN</v>
          </cell>
        </row>
        <row r="2037">
          <cell r="J2037" t="str">
            <v>Lanjutan</v>
          </cell>
        </row>
        <row r="2039">
          <cell r="A2039" t="str">
            <v>No.</v>
          </cell>
          <cell r="C2039" t="str">
            <v>U R A I A N</v>
          </cell>
          <cell r="G2039" t="str">
            <v>KODE</v>
          </cell>
          <cell r="H2039" t="str">
            <v>KOEF.</v>
          </cell>
          <cell r="I2039" t="str">
            <v>SATUAN</v>
          </cell>
          <cell r="J2039" t="str">
            <v>KETERANGAN</v>
          </cell>
        </row>
        <row r="2042">
          <cell r="A2042" t="str">
            <v>2.c.</v>
          </cell>
          <cell r="C2042" t="str">
            <v>WATER TANK TRUCK</v>
          </cell>
          <cell r="G2042" t="str">
            <v>(E23)</v>
          </cell>
        </row>
        <row r="2043">
          <cell r="C2043" t="str">
            <v>Volume tangki air</v>
          </cell>
          <cell r="G2043" t="str">
            <v>V</v>
          </cell>
          <cell r="H2043">
            <v>4</v>
          </cell>
          <cell r="I2043" t="str">
            <v>M3</v>
          </cell>
        </row>
        <row r="2044">
          <cell r="C2044" t="str">
            <v>Kebutuhan air / M2 permukaan padat</v>
          </cell>
          <cell r="G2044" t="str">
            <v>Wc</v>
          </cell>
          <cell r="H2044">
            <v>0.01</v>
          </cell>
          <cell r="I2044" t="str">
            <v>M3</v>
          </cell>
        </row>
        <row r="2045">
          <cell r="C2045" t="str">
            <v>Pengisian Tangki / jam</v>
          </cell>
          <cell r="G2045" t="str">
            <v>n</v>
          </cell>
          <cell r="H2045">
            <v>1</v>
          </cell>
          <cell r="I2045" t="str">
            <v>kali</v>
          </cell>
        </row>
        <row r="2046">
          <cell r="C2046" t="str">
            <v>Faktor efisiensi alat</v>
          </cell>
          <cell r="G2046" t="str">
            <v>Fa</v>
          </cell>
          <cell r="H2046">
            <v>0.83</v>
          </cell>
          <cell r="I2046" t="str">
            <v>-</v>
          </cell>
        </row>
        <row r="2048">
          <cell r="C2048" t="str">
            <v>Kapasitas Produksi / Jam   =</v>
          </cell>
          <cell r="E2048" t="str">
            <v>V  x  n x Fa</v>
          </cell>
          <cell r="G2048" t="str">
            <v>Q3</v>
          </cell>
          <cell r="H2048">
            <v>332</v>
          </cell>
          <cell r="I2048" t="str">
            <v>M2</v>
          </cell>
        </row>
        <row r="2049">
          <cell r="E2049" t="str">
            <v xml:space="preserve">     Wc</v>
          </cell>
        </row>
        <row r="2051">
          <cell r="C2051" t="str">
            <v>Koefisien Alat / m2</v>
          </cell>
          <cell r="D2051" t="str">
            <v xml:space="preserve"> =  1  :  Q3</v>
          </cell>
          <cell r="G2051" t="str">
            <v>(E23)</v>
          </cell>
          <cell r="H2051">
            <v>3.0120481927710845E-3</v>
          </cell>
          <cell r="I2051" t="str">
            <v>Jam</v>
          </cell>
        </row>
        <row r="2054">
          <cell r="A2054" t="str">
            <v>2.d.</v>
          </cell>
          <cell r="C2054" t="str">
            <v>ALAT  BANTU</v>
          </cell>
        </row>
        <row r="2055">
          <cell r="C2055" t="str">
            <v>Diperlukan alat-alat bantu kecil</v>
          </cell>
          <cell r="J2055" t="str">
            <v>Lump Sum</v>
          </cell>
        </row>
        <row r="2056">
          <cell r="C2056" t="str">
            <v>- Sekop    =         3   buah</v>
          </cell>
        </row>
        <row r="2059">
          <cell r="A2059" t="str">
            <v xml:space="preserve">   3.</v>
          </cell>
          <cell r="C2059" t="str">
            <v>TENAGA</v>
          </cell>
        </row>
        <row r="2060">
          <cell r="C2060" t="str">
            <v>Produksi menentukan : VIBRATORY  ROLLER</v>
          </cell>
          <cell r="G2060" t="str">
            <v>Q2</v>
          </cell>
          <cell r="H2060">
            <v>249</v>
          </cell>
          <cell r="I2060" t="str">
            <v>M2/Jam</v>
          </cell>
        </row>
        <row r="2061">
          <cell r="C2061" t="str">
            <v>Produksi Pekerjaan / hari  =  Tk x Q1</v>
          </cell>
          <cell r="G2061" t="str">
            <v>Qt</v>
          </cell>
          <cell r="H2061">
            <v>1743</v>
          </cell>
          <cell r="I2061" t="str">
            <v>M2</v>
          </cell>
        </row>
        <row r="2062">
          <cell r="C2062" t="str">
            <v>Kebutuhan tenaga :</v>
          </cell>
        </row>
        <row r="2063">
          <cell r="D2063" t="str">
            <v>- Pekerja</v>
          </cell>
          <cell r="G2063" t="str">
            <v>P</v>
          </cell>
          <cell r="H2063">
            <v>4</v>
          </cell>
          <cell r="I2063" t="str">
            <v>orang</v>
          </cell>
        </row>
        <row r="2064">
          <cell r="D2064" t="str">
            <v>- Mandor</v>
          </cell>
          <cell r="G2064" t="str">
            <v>M</v>
          </cell>
          <cell r="H2064">
            <v>1</v>
          </cell>
          <cell r="I2064" t="str">
            <v>orang</v>
          </cell>
        </row>
        <row r="2067">
          <cell r="C2067" t="str">
            <v>Koefisien tenaga / M2</v>
          </cell>
        </row>
        <row r="2068">
          <cell r="D2068" t="str">
            <v>- Pekerja</v>
          </cell>
          <cell r="E2068" t="str">
            <v>= (Tk x P) : Qt</v>
          </cell>
          <cell r="G2068" t="str">
            <v>(L01)</v>
          </cell>
          <cell r="H2068">
            <v>1.6064257028112448E-2</v>
          </cell>
          <cell r="I2068" t="str">
            <v>Jam</v>
          </cell>
        </row>
        <row r="2069">
          <cell r="D2069" t="str">
            <v>- Mandor</v>
          </cell>
          <cell r="E2069" t="str">
            <v>= (Tk x M) : Qt</v>
          </cell>
          <cell r="G2069" t="str">
            <v>(L02)</v>
          </cell>
          <cell r="H2069">
            <v>4.0160642570281121E-3</v>
          </cell>
          <cell r="I2069" t="str">
            <v>Jam</v>
          </cell>
        </row>
        <row r="2072">
          <cell r="A2072" t="str">
            <v>4.</v>
          </cell>
          <cell r="C2072" t="str">
            <v>HARGA DASAR SATUAN UPAH, BAHAN DAN ALAT</v>
          </cell>
        </row>
        <row r="2073">
          <cell r="C2073" t="str">
            <v>Lihat lampiran.</v>
          </cell>
        </row>
        <row r="2076">
          <cell r="A2076" t="str">
            <v>5.</v>
          </cell>
          <cell r="C2076" t="str">
            <v>ANALISA HARGA SATUAN PEKERJAAN</v>
          </cell>
        </row>
        <row r="2077">
          <cell r="C2077" t="str">
            <v>Lihat perhitungan dalam FORMULIR STANDAR UNTUK</v>
          </cell>
        </row>
        <row r="2078">
          <cell r="C2078" t="str">
            <v>PEREKEMAN ANALISA MASING-MASING HARGA</v>
          </cell>
        </row>
        <row r="2079">
          <cell r="C2079" t="str">
            <v>SATUAN.</v>
          </cell>
        </row>
        <row r="2080">
          <cell r="C2080" t="str">
            <v>Didapat Harga Satuan Pekerjaan :</v>
          </cell>
        </row>
        <row r="2082">
          <cell r="C2082" t="str">
            <v xml:space="preserve">Rp.  </v>
          </cell>
          <cell r="D2082">
            <v>1891.5348272711353</v>
          </cell>
          <cell r="E2082" t="str">
            <v xml:space="preserve"> / M2</v>
          </cell>
        </row>
        <row r="2085">
          <cell r="A2085" t="str">
            <v>6.</v>
          </cell>
          <cell r="C2085" t="str">
            <v>WAKTU PELAKSANAAN YANG DIPERLUKAN</v>
          </cell>
        </row>
        <row r="2086">
          <cell r="C2086" t="str">
            <v>Masa Pelaksanaan :</v>
          </cell>
          <cell r="D2086" t="str">
            <v>. . . . . . . . . . . .</v>
          </cell>
          <cell r="E2086" t="str">
            <v>bulan</v>
          </cell>
        </row>
        <row r="2088">
          <cell r="A2088" t="str">
            <v>7.</v>
          </cell>
          <cell r="C2088" t="str">
            <v>VOLUME PEKERJAAN YANG DIPERLUKAN</v>
          </cell>
        </row>
        <row r="2089">
          <cell r="C2089" t="str">
            <v>Volume pekerjaan  :</v>
          </cell>
          <cell r="D2089">
            <v>1</v>
          </cell>
          <cell r="E2089" t="str">
            <v>M2</v>
          </cell>
        </row>
        <row r="2094">
          <cell r="A2094" t="str">
            <v>ITEM PEMBAYARAN NO.</v>
          </cell>
          <cell r="D2094" t="str">
            <v>:  3.1.(7)</v>
          </cell>
          <cell r="J2094" t="str">
            <v>Analisa EI-312</v>
          </cell>
        </row>
        <row r="2095">
          <cell r="A2095" t="str">
            <v>JENIS PEKERJAAN</v>
          </cell>
          <cell r="D2095" t="str">
            <v>:  Pembongk Perk Beraspal dg Cold Milling Machine</v>
          </cell>
        </row>
        <row r="2096">
          <cell r="A2096" t="str">
            <v>SATUAN PEMBAYARAN</v>
          </cell>
          <cell r="D2096" t="str">
            <v>:  M3</v>
          </cell>
          <cell r="H2096" t="str">
            <v xml:space="preserve">         URAIAN ANALISA HARGA SATUAN</v>
          </cell>
        </row>
        <row r="2099">
          <cell r="A2099" t="str">
            <v>No.</v>
          </cell>
          <cell r="C2099" t="str">
            <v>U R A I A N</v>
          </cell>
          <cell r="G2099" t="str">
            <v>KODE</v>
          </cell>
          <cell r="H2099" t="str">
            <v>KOEF.</v>
          </cell>
          <cell r="I2099" t="str">
            <v>SATUAN</v>
          </cell>
          <cell r="J2099" t="str">
            <v>KETERANGAN</v>
          </cell>
        </row>
        <row r="2102">
          <cell r="A2102" t="str">
            <v>I.</v>
          </cell>
          <cell r="C2102" t="str">
            <v>ASUMSI</v>
          </cell>
        </row>
        <row r="2103">
          <cell r="A2103">
            <v>1</v>
          </cell>
          <cell r="C2103" t="str">
            <v>Pekerjaan dilakukan secara mekanik</v>
          </cell>
        </row>
        <row r="2104">
          <cell r="A2104">
            <v>2</v>
          </cell>
          <cell r="C2104" t="str">
            <v>Lokasi pekerjaan : sepanjang jalan</v>
          </cell>
        </row>
        <row r="2105">
          <cell r="A2105">
            <v>3</v>
          </cell>
          <cell r="C2105" t="str">
            <v>Kondisi Jalan   :  sedang / baik</v>
          </cell>
        </row>
        <row r="2106">
          <cell r="A2106">
            <v>4</v>
          </cell>
          <cell r="C2106" t="str">
            <v>Jam kerja efektif per-hari</v>
          </cell>
          <cell r="G2106" t="str">
            <v>Tk</v>
          </cell>
          <cell r="H2106">
            <v>7</v>
          </cell>
          <cell r="I2106" t="str">
            <v>Jam</v>
          </cell>
        </row>
        <row r="2107">
          <cell r="A2107">
            <v>5</v>
          </cell>
          <cell r="C2107" t="str">
            <v>Faktor pengembangan bahan</v>
          </cell>
          <cell r="G2107" t="str">
            <v>Fk</v>
          </cell>
          <cell r="H2107">
            <v>1.24</v>
          </cell>
          <cell r="I2107" t="str">
            <v>-</v>
          </cell>
        </row>
        <row r="2110">
          <cell r="A2110" t="str">
            <v>II.</v>
          </cell>
          <cell r="C2110" t="str">
            <v>URUTAN KERJA</v>
          </cell>
        </row>
        <row r="2111">
          <cell r="A2111">
            <v>1</v>
          </cell>
          <cell r="C2111" t="str">
            <v>Aspal yg dikeruk umumnya berada di badan jalan</v>
          </cell>
        </row>
        <row r="2112">
          <cell r="A2112">
            <v>2</v>
          </cell>
          <cell r="C2112" t="str">
            <v xml:space="preserve">Pengerukan dilakukan dengan Cold Milling </v>
          </cell>
        </row>
        <row r="2113">
          <cell r="C2113" t="str">
            <v xml:space="preserve">dimuat ke dlm Truk </v>
          </cell>
        </row>
        <row r="2114">
          <cell r="A2114">
            <v>3</v>
          </cell>
          <cell r="C2114" t="str">
            <v>Dump Truck membuang material hasil galian keluar</v>
          </cell>
        </row>
        <row r="2115">
          <cell r="C2115" t="str">
            <v>lokasi jalan sejauh :</v>
          </cell>
          <cell r="G2115" t="str">
            <v>L</v>
          </cell>
          <cell r="H2115">
            <v>5</v>
          </cell>
          <cell r="I2115" t="str">
            <v>Km</v>
          </cell>
        </row>
        <row r="2119">
          <cell r="A2119" t="str">
            <v>III.</v>
          </cell>
          <cell r="C2119" t="str">
            <v>PEMAKAIAN BAHAN, ALAT DAN TENAGA</v>
          </cell>
        </row>
        <row r="2121">
          <cell r="A2121" t="str">
            <v xml:space="preserve">   1.</v>
          </cell>
          <cell r="C2121" t="str">
            <v>BAHAN</v>
          </cell>
        </row>
        <row r="2122">
          <cell r="C2122" t="str">
            <v>Tidak ada bahan yang diperlukan</v>
          </cell>
        </row>
        <row r="2125">
          <cell r="A2125" t="str">
            <v xml:space="preserve">   2.</v>
          </cell>
          <cell r="C2125" t="str">
            <v>ALAT</v>
          </cell>
        </row>
        <row r="2126">
          <cell r="A2126" t="str">
            <v xml:space="preserve">   2.a.</v>
          </cell>
          <cell r="C2126" t="str">
            <v>COLD MILLING</v>
          </cell>
        </row>
        <row r="2127">
          <cell r="C2127" t="str">
            <v xml:space="preserve">Produksi teoritis per jam </v>
          </cell>
          <cell r="G2127" t="str">
            <v>q</v>
          </cell>
          <cell r="H2127">
            <v>300</v>
          </cell>
          <cell r="I2127" t="str">
            <v>m</v>
          </cell>
        </row>
        <row r="2128">
          <cell r="C2128" t="str">
            <v>Kapasitas lebar galian</v>
          </cell>
          <cell r="G2128" t="str">
            <v>b</v>
          </cell>
          <cell r="H2128">
            <v>1000</v>
          </cell>
          <cell r="I2128" t="str">
            <v>m</v>
          </cell>
        </row>
        <row r="2129">
          <cell r="C2129" t="str">
            <v>tebal galian</v>
          </cell>
          <cell r="G2129" t="str">
            <v>t</v>
          </cell>
          <cell r="H2129">
            <v>0.15</v>
          </cell>
          <cell r="I2129" t="str">
            <v>m</v>
          </cell>
        </row>
        <row r="2130">
          <cell r="C2130" t="str">
            <v>kecepatan</v>
          </cell>
          <cell r="G2130" t="str">
            <v>v</v>
          </cell>
          <cell r="H2130">
            <v>5</v>
          </cell>
          <cell r="I2130" t="str">
            <v>m/menit</v>
          </cell>
        </row>
        <row r="2131">
          <cell r="C2131" t="str">
            <v>Faktor effesiensi kerja</v>
          </cell>
          <cell r="G2131" t="str">
            <v>Fa</v>
          </cell>
          <cell r="H2131">
            <v>0.6</v>
          </cell>
          <cell r="J2131" t="str">
            <v>grafik cold</v>
          </cell>
          <cell r="Q2131" t="str">
            <v xml:space="preserve">JUMLAH HARGA BAHAN   </v>
          </cell>
          <cell r="U2131">
            <v>0</v>
          </cell>
        </row>
        <row r="2132">
          <cell r="J2132" t="str">
            <v>miling</v>
          </cell>
        </row>
        <row r="2133">
          <cell r="C2133" t="str">
            <v>Kapasitas prod/jam =</v>
          </cell>
          <cell r="E2133" t="str">
            <v>Fa x q x t x Fk</v>
          </cell>
          <cell r="G2133" t="str">
            <v>Q1</v>
          </cell>
          <cell r="H2133">
            <v>33.479999999999997</v>
          </cell>
          <cell r="I2133" t="str">
            <v>M3</v>
          </cell>
          <cell r="L2133" t="str">
            <v>C.</v>
          </cell>
          <cell r="N2133" t="str">
            <v>PERALATAN</v>
          </cell>
        </row>
        <row r="2134">
          <cell r="L2134" t="str">
            <v>1.</v>
          </cell>
          <cell r="N2134" t="str">
            <v>Cold Milling</v>
          </cell>
          <cell r="P2134" t="str">
            <v>Jam</v>
          </cell>
          <cell r="Q2134">
            <v>2.9868578255675033E-2</v>
          </cell>
          <cell r="R2134">
            <v>1163221.6447452162</v>
          </cell>
          <cell r="U2134">
            <v>34743.776724767515</v>
          </cell>
        </row>
        <row r="2135">
          <cell r="C2135" t="str">
            <v>Koefisien Alat / m3</v>
          </cell>
          <cell r="D2135" t="str">
            <v xml:space="preserve"> =  1  :  Q1</v>
          </cell>
          <cell r="H2135">
            <v>2.9868578255675033E-2</v>
          </cell>
          <cell r="I2135" t="str">
            <v>Jam</v>
          </cell>
          <cell r="L2135">
            <v>2</v>
          </cell>
          <cell r="N2135" t="str">
            <v>Dump Truck</v>
          </cell>
          <cell r="O2135" t="str">
            <v>(E08)</v>
          </cell>
          <cell r="P2135" t="str">
            <v>Jam</v>
          </cell>
          <cell r="Q2135">
            <v>0.12969656403391344</v>
          </cell>
          <cell r="R2135">
            <v>153645.58193291764</v>
          </cell>
          <cell r="U2135">
            <v>19927.304055690547</v>
          </cell>
        </row>
        <row r="2138">
          <cell r="A2138" t="str">
            <v xml:space="preserve">   2.b.</v>
          </cell>
          <cell r="C2138" t="str">
            <v>DUMP TRUCK</v>
          </cell>
          <cell r="G2138" t="str">
            <v>(E08)</v>
          </cell>
        </row>
        <row r="2139">
          <cell r="C2139" t="str">
            <v>Kapasitas bak</v>
          </cell>
          <cell r="G2139" t="str">
            <v>V</v>
          </cell>
          <cell r="H2139">
            <v>4</v>
          </cell>
          <cell r="I2139" t="str">
            <v>M3</v>
          </cell>
        </row>
        <row r="2140">
          <cell r="C2140" t="str">
            <v>Faktor  efisiensi alat</v>
          </cell>
          <cell r="G2140" t="str">
            <v>Fa</v>
          </cell>
          <cell r="H2140">
            <v>0.83</v>
          </cell>
          <cell r="I2140" t="str">
            <v>-</v>
          </cell>
          <cell r="Q2140" t="str">
            <v xml:space="preserve">JUMLAH HARGA PERALATAN   </v>
          </cell>
          <cell r="U2140">
            <v>54671.080780458062</v>
          </cell>
        </row>
        <row r="2141">
          <cell r="C2141" t="str">
            <v>Kecepatan rata-rata bermuatan</v>
          </cell>
          <cell r="G2141" t="str">
            <v>v1</v>
          </cell>
          <cell r="H2141">
            <v>45</v>
          </cell>
          <cell r="I2141" t="str">
            <v>KM/Jam</v>
          </cell>
        </row>
        <row r="2142">
          <cell r="C2142" t="str">
            <v>Kecepatan rata-rata kosong</v>
          </cell>
          <cell r="G2142" t="str">
            <v>v2</v>
          </cell>
          <cell r="H2142">
            <v>60</v>
          </cell>
          <cell r="I2142" t="str">
            <v>KM/Jam</v>
          </cell>
          <cell r="L2142" t="str">
            <v>D.</v>
          </cell>
          <cell r="N2142" t="str">
            <v>JUMLAH HARGA TENAGA, BAHAN DAN PERALATAN  ( A + B + C )</v>
          </cell>
          <cell r="U2142">
            <v>54937.764472214338</v>
          </cell>
        </row>
        <row r="2143">
          <cell r="C2143" t="str">
            <v>Waktu  siklus</v>
          </cell>
          <cell r="G2143" t="str">
            <v>Ts1</v>
          </cell>
          <cell r="I2143" t="str">
            <v>menit</v>
          </cell>
          <cell r="L2143" t="str">
            <v>E.</v>
          </cell>
          <cell r="N2143" t="str">
            <v>OVERHEAD &amp; PROFIT</v>
          </cell>
          <cell r="P2143">
            <v>10</v>
          </cell>
          <cell r="Q2143" t="str">
            <v>%  x  D</v>
          </cell>
          <cell r="U2143">
            <v>5493.776447221434</v>
          </cell>
        </row>
        <row r="2144">
          <cell r="C2144" t="str">
            <v>- Waktu tempuh isi</v>
          </cell>
          <cell r="E2144" t="str">
            <v>=   (L  :  v1)  x  60</v>
          </cell>
          <cell r="G2144" t="str">
            <v>T1</v>
          </cell>
          <cell r="H2144">
            <v>6.6666666666666661</v>
          </cell>
          <cell r="I2144" t="str">
            <v>menit</v>
          </cell>
          <cell r="L2144" t="str">
            <v>F.</v>
          </cell>
          <cell r="N2144" t="str">
            <v>HARGA SATUAN PEKERJAAN  ( D + E )</v>
          </cell>
          <cell r="U2144">
            <v>60431.540919435771</v>
          </cell>
        </row>
        <row r="2145">
          <cell r="C2145" t="str">
            <v>- Waktu tempuh kosong</v>
          </cell>
          <cell r="E2145" t="str">
            <v>=   (L  :  v2)  x  60</v>
          </cell>
          <cell r="G2145" t="str">
            <v>T2</v>
          </cell>
          <cell r="H2145">
            <v>5</v>
          </cell>
          <cell r="I2145" t="str">
            <v>menit</v>
          </cell>
          <cell r="L2145" t="str">
            <v>Note: 1</v>
          </cell>
          <cell r="N2145" t="str">
            <v>SATUAN dapat berdasarkan atas jam operasi untuk Tenaga Kerja dan Peralatan, volume dan/atau ukuran</v>
          </cell>
        </row>
        <row r="2146">
          <cell r="C2146" t="str">
            <v>- Muat</v>
          </cell>
          <cell r="E2146" t="str">
            <v>=   (V  :  Q1) x 60</v>
          </cell>
          <cell r="G2146" t="str">
            <v>T3</v>
          </cell>
          <cell r="H2146">
            <v>7.1684587813620082</v>
          </cell>
          <cell r="I2146" t="str">
            <v>menit</v>
          </cell>
          <cell r="N2146" t="str">
            <v>berat untuk bahan-bahan.</v>
          </cell>
        </row>
        <row r="2147">
          <cell r="C2147" t="str">
            <v>- Lain-lain</v>
          </cell>
          <cell r="G2147" t="str">
            <v>T4</v>
          </cell>
          <cell r="H2147">
            <v>2</v>
          </cell>
          <cell r="I2147" t="str">
            <v>menit</v>
          </cell>
          <cell r="L2147">
            <v>2</v>
          </cell>
          <cell r="N2147" t="str">
            <v>Kuantitas satuan adalah kuantitas setiap komponen untuk menyelesaikan satu satuan pekerjaan dari nomor</v>
          </cell>
        </row>
        <row r="2148">
          <cell r="G2148" t="str">
            <v>Ts1</v>
          </cell>
          <cell r="H2148">
            <v>20.835125448028673</v>
          </cell>
          <cell r="I2148" t="str">
            <v>menit</v>
          </cell>
          <cell r="N2148" t="str">
            <v>mata pembayaran.</v>
          </cell>
        </row>
        <row r="2149">
          <cell r="L2149">
            <v>3</v>
          </cell>
          <cell r="N2149" t="str">
            <v>Biaya satuan untuk peralatan sudah termasuk bahan bakar, bahan habis dipakai dan operator.</v>
          </cell>
        </row>
        <row r="2150">
          <cell r="L2150">
            <v>4</v>
          </cell>
          <cell r="N2150" t="str">
            <v>Biaya satuan sudah termasuk pengeluaran untuk seluruh pajak yang berkaitan (tetapi tidak termasuk PPN</v>
          </cell>
        </row>
        <row r="2151">
          <cell r="C2151" t="str">
            <v>Kapasitas Produksi / Jam   =</v>
          </cell>
          <cell r="E2151" t="str">
            <v>V x Fa x 60</v>
          </cell>
          <cell r="G2151" t="str">
            <v>Q2</v>
          </cell>
          <cell r="H2151">
            <v>7.7103044899363491</v>
          </cell>
          <cell r="I2151" t="str">
            <v xml:space="preserve">M3 / Jam </v>
          </cell>
          <cell r="N2151" t="str">
            <v>yang dibayar dari kontrak) dan biaya-biaya lainnya.</v>
          </cell>
        </row>
        <row r="2152">
          <cell r="E2152" t="str">
            <v xml:space="preserve">    Fk x Ts1</v>
          </cell>
        </row>
        <row r="2155">
          <cell r="C2155" t="str">
            <v>Koefisien Alat / m3</v>
          </cell>
          <cell r="D2155" t="str">
            <v xml:space="preserve"> =  1  :  Q2</v>
          </cell>
          <cell r="G2155" t="str">
            <v>(E08)</v>
          </cell>
          <cell r="H2155">
            <v>0.12969656403391344</v>
          </cell>
          <cell r="I2155" t="str">
            <v>Jam</v>
          </cell>
        </row>
        <row r="2160">
          <cell r="J2160" t="str">
            <v>Berlanjut ke halaman berikut</v>
          </cell>
        </row>
        <row r="2161">
          <cell r="A2161" t="str">
            <v>ITEM PEMBAYARAN NO.</v>
          </cell>
          <cell r="D2161" t="str">
            <v>:  3.1.(7)</v>
          </cell>
          <cell r="J2161" t="str">
            <v>Analisa EI-312</v>
          </cell>
        </row>
        <row r="2162">
          <cell r="A2162" t="str">
            <v>JENIS PEKERJAAN</v>
          </cell>
          <cell r="D2162" t="str">
            <v>:  Pembongk Perk Beraspal dg Cold Milling Machine</v>
          </cell>
        </row>
        <row r="2163">
          <cell r="A2163" t="str">
            <v>SATUAN PEMBAYARAN</v>
          </cell>
          <cell r="D2163" t="str">
            <v>:  M3</v>
          </cell>
          <cell r="H2163" t="str">
            <v xml:space="preserve">         URAIAN ANALISA HARGA SATUAN</v>
          </cell>
        </row>
        <row r="2164">
          <cell r="J2164" t="str">
            <v>Lanjutan</v>
          </cell>
        </row>
        <row r="2166">
          <cell r="A2166" t="str">
            <v>No.</v>
          </cell>
          <cell r="C2166" t="str">
            <v>U R A I A N</v>
          </cell>
          <cell r="G2166" t="str">
            <v>KODE</v>
          </cell>
          <cell r="H2166" t="str">
            <v>KOEF.</v>
          </cell>
          <cell r="I2166" t="str">
            <v>SATUAN</v>
          </cell>
          <cell r="J2166" t="str">
            <v>KETERANGAN</v>
          </cell>
        </row>
        <row r="2169">
          <cell r="A2169" t="str">
            <v xml:space="preserve"> 2.c</v>
          </cell>
          <cell r="C2169" t="str">
            <v>ALAT  BANTU</v>
          </cell>
        </row>
        <row r="2170">
          <cell r="C2170" t="str">
            <v>Diperlukan alat-alat bantu kecil</v>
          </cell>
          <cell r="J2170" t="str">
            <v>Lump Sump</v>
          </cell>
        </row>
        <row r="2171">
          <cell r="C2171" t="str">
            <v>- Pahat / Tatah</v>
          </cell>
          <cell r="D2171" t="str">
            <v>=  2  buah</v>
          </cell>
        </row>
        <row r="2172">
          <cell r="C2172" t="str">
            <v>- Palu Besar</v>
          </cell>
          <cell r="D2172" t="str">
            <v>=  2  buah</v>
          </cell>
        </row>
        <row r="2174">
          <cell r="A2174" t="str">
            <v xml:space="preserve">   3.</v>
          </cell>
          <cell r="C2174" t="str">
            <v>TENAGA</v>
          </cell>
        </row>
        <row r="2175">
          <cell r="C2175" t="str">
            <v>Produksi menentukan : COLD MILLING</v>
          </cell>
          <cell r="G2175" t="str">
            <v>Q1</v>
          </cell>
          <cell r="H2175">
            <v>33.479999999999997</v>
          </cell>
          <cell r="I2175" t="str">
            <v>M3/Jam</v>
          </cell>
        </row>
        <row r="2176">
          <cell r="C2176" t="str">
            <v>Produksi Galian / hari  =  Tk x Q1</v>
          </cell>
          <cell r="G2176" t="str">
            <v>Qt</v>
          </cell>
          <cell r="H2176">
            <v>234.35999999999999</v>
          </cell>
          <cell r="I2176" t="str">
            <v>M2</v>
          </cell>
        </row>
        <row r="2177">
          <cell r="C2177" t="str">
            <v>Kebutuhan tenaga :</v>
          </cell>
        </row>
        <row r="2178">
          <cell r="D2178" t="str">
            <v>- Pekerja</v>
          </cell>
          <cell r="G2178" t="str">
            <v>P</v>
          </cell>
          <cell r="H2178">
            <v>2</v>
          </cell>
          <cell r="I2178" t="str">
            <v>orang</v>
          </cell>
        </row>
        <row r="2179">
          <cell r="D2179" t="str">
            <v>- Mandor</v>
          </cell>
          <cell r="G2179" t="str">
            <v>M</v>
          </cell>
          <cell r="H2179">
            <v>1</v>
          </cell>
          <cell r="I2179" t="str">
            <v>orang</v>
          </cell>
        </row>
        <row r="2181">
          <cell r="C2181" t="str">
            <v>Koefisien tenaga / M3   :</v>
          </cell>
        </row>
        <row r="2182">
          <cell r="D2182" t="str">
            <v>- Pekerja</v>
          </cell>
          <cell r="E2182" t="str">
            <v>= (Tk x P) : Qt</v>
          </cell>
          <cell r="G2182" t="str">
            <v>(L01)</v>
          </cell>
          <cell r="H2182">
            <v>5.9737156511350066E-2</v>
          </cell>
          <cell r="I2182" t="str">
            <v>Jam</v>
          </cell>
        </row>
        <row r="2183">
          <cell r="D2183" t="str">
            <v>- Mandor</v>
          </cell>
          <cell r="E2183" t="str">
            <v>= (Tk x M) : Qt</v>
          </cell>
          <cell r="G2183" t="str">
            <v>(L03)</v>
          </cell>
          <cell r="H2183">
            <v>2.9868578255675033E-2</v>
          </cell>
          <cell r="I2183" t="str">
            <v>Jam</v>
          </cell>
        </row>
        <row r="2185">
          <cell r="A2185" t="str">
            <v>4.</v>
          </cell>
          <cell r="C2185" t="str">
            <v>HARGA DASAR SATUAN UPAH, BAHAN DAN ALAT</v>
          </cell>
        </row>
        <row r="2186">
          <cell r="C2186" t="str">
            <v>Lihat lampiran.</v>
          </cell>
        </row>
        <row r="2188">
          <cell r="A2188" t="str">
            <v>5.</v>
          </cell>
          <cell r="C2188" t="str">
            <v>ANALISA HARGA SATUAN PEKERJAAN</v>
          </cell>
        </row>
        <row r="2189">
          <cell r="C2189" t="str">
            <v>Lihat perhitungan dalam FORMULIR STANDAR UNTUK</v>
          </cell>
        </row>
        <row r="2190">
          <cell r="C2190" t="str">
            <v>PEREKEMAN ANALISA MASING-MASING HARGA</v>
          </cell>
        </row>
        <row r="2191">
          <cell r="C2191" t="str">
            <v>SATUAN.</v>
          </cell>
        </row>
        <row r="2192">
          <cell r="C2192" t="str">
            <v>Didapat Harga Satuan Pekerjaan :</v>
          </cell>
        </row>
        <row r="2194">
          <cell r="C2194" t="str">
            <v xml:space="preserve">Rp.  </v>
          </cell>
          <cell r="D2194">
            <v>60431.540919435771</v>
          </cell>
          <cell r="E2194" t="str">
            <v xml:space="preserve"> / M2</v>
          </cell>
        </row>
        <row r="2197">
          <cell r="A2197" t="str">
            <v>6.</v>
          </cell>
          <cell r="C2197" t="str">
            <v>WAKTU PELAKSANAAN YANG DIPERLUKAN</v>
          </cell>
        </row>
        <row r="2198">
          <cell r="C2198" t="str">
            <v>Masa Pelaksanaan :</v>
          </cell>
          <cell r="D2198" t="str">
            <v>. . . . . . . . . . . .</v>
          </cell>
          <cell r="E2198" t="str">
            <v>bulan</v>
          </cell>
        </row>
        <row r="2200">
          <cell r="A2200" t="str">
            <v>7.</v>
          </cell>
          <cell r="C2200" t="str">
            <v>VOLUME PEKERJAAN YANG DIPERLUKAN</v>
          </cell>
        </row>
        <row r="2201">
          <cell r="C2201" t="str">
            <v>Volume pekerjaan  :</v>
          </cell>
          <cell r="D2201">
            <v>0</v>
          </cell>
          <cell r="E2201" t="str">
            <v>M3</v>
          </cell>
        </row>
        <row r="2217">
          <cell r="A2217" t="str">
            <v>ITEM PEMBAYARAN NO.</v>
          </cell>
          <cell r="D2217" t="str">
            <v>:  3.1.(8)</v>
          </cell>
          <cell r="J2217" t="str">
            <v>=T2272</v>
          </cell>
        </row>
        <row r="2218">
          <cell r="A2218" t="str">
            <v>JENIS PEKERJAAN</v>
          </cell>
          <cell r="D2218" t="str">
            <v>:  Pembongk Perk Beraspal tanpa Cold Milling Machine</v>
          </cell>
        </row>
        <row r="2219">
          <cell r="A2219" t="str">
            <v>SATUAN PEMBAYARAN</v>
          </cell>
          <cell r="D2219" t="str">
            <v>:  M3</v>
          </cell>
          <cell r="H2219" t="str">
            <v xml:space="preserve">         URAIAN ANALISA HARGA SATUAN</v>
          </cell>
        </row>
        <row r="2222">
          <cell r="A2222" t="str">
            <v>No.</v>
          </cell>
          <cell r="C2222" t="str">
            <v>U R A I A N</v>
          </cell>
          <cell r="G2222" t="str">
            <v>KODE</v>
          </cell>
          <cell r="H2222" t="str">
            <v>KOEF.</v>
          </cell>
          <cell r="I2222" t="str">
            <v>SATUAN</v>
          </cell>
          <cell r="J2222" t="str">
            <v>KETERANGAN</v>
          </cell>
        </row>
        <row r="2225">
          <cell r="A2225" t="str">
            <v>I.</v>
          </cell>
          <cell r="C2225" t="str">
            <v>ASUMSI</v>
          </cell>
        </row>
        <row r="2226">
          <cell r="A2226">
            <v>1</v>
          </cell>
          <cell r="C2226" t="str">
            <v>Pekerjaan dilakukan secara mekanik/manual</v>
          </cell>
        </row>
        <row r="2227">
          <cell r="A2227">
            <v>2</v>
          </cell>
          <cell r="C2227" t="str">
            <v>Lokasi pekerjaan : sepanjang jalan</v>
          </cell>
        </row>
        <row r="2228">
          <cell r="A2228">
            <v>3</v>
          </cell>
          <cell r="C2228" t="str">
            <v>Kondisi Jalan   :  sedang / baik</v>
          </cell>
        </row>
        <row r="2229">
          <cell r="A2229">
            <v>4</v>
          </cell>
          <cell r="C2229" t="str">
            <v>Jam kerja efektif per-hari</v>
          </cell>
          <cell r="G2229" t="str">
            <v>Tk</v>
          </cell>
          <cell r="H2229">
            <v>7</v>
          </cell>
          <cell r="I2229" t="str">
            <v>Jam</v>
          </cell>
        </row>
        <row r="2230">
          <cell r="A2230">
            <v>5</v>
          </cell>
          <cell r="C2230" t="str">
            <v>Faktor pengembangan bahan</v>
          </cell>
          <cell r="G2230" t="str">
            <v>Fk</v>
          </cell>
          <cell r="H2230">
            <v>1.24</v>
          </cell>
          <cell r="I2230" t="str">
            <v>-</v>
          </cell>
        </row>
        <row r="2233">
          <cell r="A2233" t="str">
            <v>II.</v>
          </cell>
          <cell r="C2233" t="str">
            <v>URUTAN KERJA</v>
          </cell>
        </row>
        <row r="2234">
          <cell r="A2234">
            <v>1</v>
          </cell>
          <cell r="C2234" t="str">
            <v>Aspal yg dikeruk umumnya berada di badan jalan</v>
          </cell>
        </row>
        <row r="2235">
          <cell r="A2235">
            <v>2</v>
          </cell>
          <cell r="C2235" t="str">
            <v>Pengerukan dilakukan dengan Jack Hammer dan</v>
          </cell>
        </row>
        <row r="2236">
          <cell r="C2236" t="str">
            <v>dimuat ke dalam truck secara manual</v>
          </cell>
        </row>
        <row r="2237">
          <cell r="A2237">
            <v>3</v>
          </cell>
          <cell r="C2237" t="str">
            <v>Dump Truck membuang material hasil galian keluar</v>
          </cell>
        </row>
        <row r="2238">
          <cell r="C2238" t="str">
            <v>lokasi jalan sejauh :</v>
          </cell>
          <cell r="G2238" t="str">
            <v>L</v>
          </cell>
          <cell r="H2238">
            <v>5</v>
          </cell>
          <cell r="I2238" t="str">
            <v>Km</v>
          </cell>
        </row>
        <row r="2242">
          <cell r="A2242" t="str">
            <v>III.</v>
          </cell>
          <cell r="C2242" t="str">
            <v>PEMAKAIAN BAHAN, ALAT DAN TENAGA</v>
          </cell>
        </row>
        <row r="2244">
          <cell r="A2244" t="str">
            <v xml:space="preserve">   1.</v>
          </cell>
          <cell r="C2244" t="str">
            <v>BAHAN</v>
          </cell>
        </row>
        <row r="2245">
          <cell r="C2245" t="str">
            <v>Tidak ada bahan yang diperlukan</v>
          </cell>
        </row>
        <row r="2248">
          <cell r="A2248" t="str">
            <v xml:space="preserve">   2.</v>
          </cell>
          <cell r="C2248" t="str">
            <v>ALAT</v>
          </cell>
        </row>
        <row r="2249">
          <cell r="A2249" t="str">
            <v xml:space="preserve">   2.a.</v>
          </cell>
          <cell r="C2249" t="str">
            <v>JACK HAMMER, COMPRESSOR</v>
          </cell>
        </row>
        <row r="2250">
          <cell r="C2250" t="str">
            <v>Produksi per jam</v>
          </cell>
          <cell r="G2250" t="str">
            <v>Q1</v>
          </cell>
          <cell r="H2250">
            <v>1</v>
          </cell>
          <cell r="I2250" t="str">
            <v>M3 / Jam</v>
          </cell>
        </row>
        <row r="2252">
          <cell r="C2252" t="str">
            <v>Koefisien Alat / m3</v>
          </cell>
          <cell r="D2252" t="str">
            <v xml:space="preserve"> =  1  :  Q1</v>
          </cell>
          <cell r="H2252">
            <v>1</v>
          </cell>
          <cell r="I2252" t="str">
            <v>Jam</v>
          </cell>
        </row>
        <row r="2255">
          <cell r="A2255" t="str">
            <v xml:space="preserve">   2.b.</v>
          </cell>
          <cell r="C2255" t="str">
            <v>DUMP TRUCK</v>
          </cell>
          <cell r="G2255" t="str">
            <v>(E08)</v>
          </cell>
        </row>
        <row r="2256">
          <cell r="C2256" t="str">
            <v>Kapasitas bak</v>
          </cell>
          <cell r="G2256" t="str">
            <v>V</v>
          </cell>
          <cell r="H2256">
            <v>4</v>
          </cell>
          <cell r="I2256" t="str">
            <v>M3</v>
          </cell>
        </row>
        <row r="2257">
          <cell r="C2257" t="str">
            <v>Faktor  efisiensi alat</v>
          </cell>
          <cell r="G2257" t="str">
            <v>Fa</v>
          </cell>
          <cell r="H2257">
            <v>0.83</v>
          </cell>
          <cell r="I2257" t="str">
            <v>-</v>
          </cell>
        </row>
        <row r="2258">
          <cell r="C2258" t="str">
            <v>Kecepatan rata-rata bermuatan</v>
          </cell>
          <cell r="G2258" t="str">
            <v>v1</v>
          </cell>
          <cell r="H2258">
            <v>45</v>
          </cell>
          <cell r="I2258" t="str">
            <v>KM/Jam</v>
          </cell>
        </row>
        <row r="2259">
          <cell r="C2259" t="str">
            <v>Kecepatan rata-rata kosong</v>
          </cell>
          <cell r="G2259" t="str">
            <v>v2</v>
          </cell>
          <cell r="H2259">
            <v>60</v>
          </cell>
          <cell r="I2259" t="str">
            <v>KM/Jam</v>
          </cell>
        </row>
        <row r="2260">
          <cell r="C2260" t="str">
            <v>Waktu  siklus</v>
          </cell>
          <cell r="G2260" t="str">
            <v>Ts1</v>
          </cell>
          <cell r="I2260" t="str">
            <v>menit</v>
          </cell>
        </row>
        <row r="2261">
          <cell r="C2261" t="str">
            <v>- Waktu tempuh isi</v>
          </cell>
          <cell r="E2261" t="str">
            <v>=   (L  :  v1)  x  60</v>
          </cell>
          <cell r="G2261" t="str">
            <v>T1</v>
          </cell>
          <cell r="H2261">
            <v>6.6666666666666661</v>
          </cell>
          <cell r="I2261" t="str">
            <v>menit</v>
          </cell>
        </row>
        <row r="2262">
          <cell r="C2262" t="str">
            <v>- Waktu tempuh kosong</v>
          </cell>
          <cell r="E2262" t="str">
            <v>=   (L  :  v2)  x  60</v>
          </cell>
          <cell r="G2262" t="str">
            <v>T2</v>
          </cell>
          <cell r="H2262">
            <v>5</v>
          </cell>
          <cell r="I2262" t="str">
            <v>menit</v>
          </cell>
        </row>
        <row r="2263">
          <cell r="C2263" t="str">
            <v>- Muat</v>
          </cell>
          <cell r="E2263" t="str">
            <v>=   (V  :  Q1) x 60</v>
          </cell>
          <cell r="G2263" t="str">
            <v>T3</v>
          </cell>
          <cell r="H2263">
            <v>240</v>
          </cell>
          <cell r="I2263" t="str">
            <v>menit</v>
          </cell>
        </row>
        <row r="2264">
          <cell r="C2264" t="str">
            <v>- Lain-lain</v>
          </cell>
          <cell r="G2264" t="str">
            <v>T4</v>
          </cell>
          <cell r="H2264">
            <v>2</v>
          </cell>
          <cell r="I2264" t="str">
            <v>menit</v>
          </cell>
        </row>
        <row r="2265">
          <cell r="G2265" t="str">
            <v>Ts1</v>
          </cell>
          <cell r="H2265">
            <v>253.66666666666666</v>
          </cell>
          <cell r="I2265" t="str">
            <v>menit</v>
          </cell>
        </row>
        <row r="2268">
          <cell r="C2268" t="str">
            <v>Kapasitas Produksi / Jam   =</v>
          </cell>
          <cell r="E2268" t="str">
            <v>V x Fa x 60</v>
          </cell>
          <cell r="G2268" t="str">
            <v>Q2</v>
          </cell>
          <cell r="H2268">
            <v>0.63329235725488531</v>
          </cell>
          <cell r="I2268" t="str">
            <v xml:space="preserve">M3 / Jam </v>
          </cell>
        </row>
        <row r="2269">
          <cell r="E2269" t="str">
            <v xml:space="preserve">    Fk x Ts1</v>
          </cell>
        </row>
        <row r="2272">
          <cell r="C2272" t="str">
            <v>Koefisien Alat / m3</v>
          </cell>
          <cell r="D2272" t="str">
            <v xml:space="preserve"> =  1  :  Q2</v>
          </cell>
          <cell r="G2272" t="str">
            <v>(E08)</v>
          </cell>
          <cell r="H2272">
            <v>1.5790495314591702</v>
          </cell>
          <cell r="I2272" t="str">
            <v>Jam</v>
          </cell>
        </row>
        <row r="2274">
          <cell r="C2274" t="str">
            <v xml:space="preserve"> </v>
          </cell>
        </row>
        <row r="2275">
          <cell r="C2275" t="str">
            <v xml:space="preserve"> </v>
          </cell>
        </row>
        <row r="2277">
          <cell r="J2277" t="str">
            <v>Berlanjut ke halaman berikut</v>
          </cell>
        </row>
        <row r="2278">
          <cell r="A2278" t="str">
            <v>ITEM PEMBAYARAN NO.</v>
          </cell>
          <cell r="D2278" t="str">
            <v>:  3.1.(8)</v>
          </cell>
          <cell r="J2278" t="str">
            <v>=T2272</v>
          </cell>
        </row>
        <row r="2279">
          <cell r="A2279" t="str">
            <v>JENIS PEKERJAAN</v>
          </cell>
          <cell r="D2279" t="str">
            <v>:  Pembongk Perk Beraspal tanpa Cold Milling Machine</v>
          </cell>
        </row>
        <row r="2280">
          <cell r="A2280" t="str">
            <v>SATUAN PEMBAYARAN</v>
          </cell>
          <cell r="D2280" t="str">
            <v>:  M3</v>
          </cell>
          <cell r="H2280" t="str">
            <v xml:space="preserve">         URAIAN ANALISA HARGA SATUAN</v>
          </cell>
        </row>
        <row r="2281">
          <cell r="J2281" t="str">
            <v>Lanjutan</v>
          </cell>
        </row>
        <row r="2283">
          <cell r="A2283" t="str">
            <v>No.</v>
          </cell>
          <cell r="C2283" t="str">
            <v>U R A I A N</v>
          </cell>
          <cell r="G2283" t="str">
            <v>KODE</v>
          </cell>
          <cell r="H2283" t="str">
            <v>KOEF.</v>
          </cell>
          <cell r="I2283" t="str">
            <v>SATUAN</v>
          </cell>
          <cell r="J2283" t="str">
            <v>KETERANGAN</v>
          </cell>
        </row>
        <row r="2286">
          <cell r="A2286" t="str">
            <v xml:space="preserve"> 2.c</v>
          </cell>
          <cell r="C2286" t="str">
            <v>ALAT  BANTU</v>
          </cell>
        </row>
        <row r="2287">
          <cell r="C2287" t="str">
            <v>Diperlukan alat-alat bantu kecil</v>
          </cell>
          <cell r="J2287" t="str">
            <v>Lump Sump</v>
          </cell>
        </row>
        <row r="2288">
          <cell r="C2288" t="str">
            <v>- Sekop</v>
          </cell>
          <cell r="D2288" t="str">
            <v>= 2 buah</v>
          </cell>
        </row>
        <row r="2289">
          <cell r="C2289" t="str">
            <v>- Kereta Sorong</v>
          </cell>
          <cell r="D2289" t="str">
            <v>= 2 buah</v>
          </cell>
        </row>
        <row r="2291">
          <cell r="A2291" t="str">
            <v xml:space="preserve">   3.</v>
          </cell>
          <cell r="C2291" t="str">
            <v>TENAGA</v>
          </cell>
        </row>
        <row r="2292">
          <cell r="C2292" t="str">
            <v>Produksi menentukan : Jack Hammer</v>
          </cell>
          <cell r="G2292" t="str">
            <v>Q1</v>
          </cell>
          <cell r="H2292">
            <v>1</v>
          </cell>
          <cell r="I2292" t="str">
            <v>M3/Jam</v>
          </cell>
        </row>
        <row r="2293">
          <cell r="C2293" t="str">
            <v>Produksi Galian / hari  =  Tk x Q1</v>
          </cell>
          <cell r="G2293" t="str">
            <v>Qt</v>
          </cell>
          <cell r="H2293">
            <v>7</v>
          </cell>
          <cell r="I2293" t="str">
            <v>M3</v>
          </cell>
        </row>
        <row r="2294">
          <cell r="C2294" t="str">
            <v>Kebutuhan tenaga :</v>
          </cell>
        </row>
        <row r="2295">
          <cell r="D2295" t="str">
            <v>- Pekerja</v>
          </cell>
          <cell r="G2295" t="str">
            <v>P</v>
          </cell>
          <cell r="H2295">
            <v>2</v>
          </cell>
          <cell r="I2295" t="str">
            <v>orang</v>
          </cell>
        </row>
        <row r="2296">
          <cell r="D2296" t="str">
            <v>- Mandor</v>
          </cell>
          <cell r="G2296" t="str">
            <v>M</v>
          </cell>
          <cell r="H2296">
            <v>1</v>
          </cell>
          <cell r="I2296" t="str">
            <v>orang</v>
          </cell>
        </row>
        <row r="2298">
          <cell r="C2298" t="str">
            <v>Koefisien tenaga / M3   :</v>
          </cell>
        </row>
        <row r="2299">
          <cell r="D2299" t="str">
            <v>- Pekerja</v>
          </cell>
          <cell r="E2299" t="str">
            <v>= (Tk x P) : Qt</v>
          </cell>
          <cell r="G2299" t="str">
            <v>(L01)</v>
          </cell>
          <cell r="H2299">
            <v>2</v>
          </cell>
          <cell r="I2299" t="str">
            <v>Jam</v>
          </cell>
        </row>
        <row r="2300">
          <cell r="D2300" t="str">
            <v>- Mandor</v>
          </cell>
          <cell r="E2300" t="str">
            <v>= (Tk x M) : Qt</v>
          </cell>
          <cell r="G2300" t="str">
            <v>(L03)</v>
          </cell>
          <cell r="H2300">
            <v>1</v>
          </cell>
          <cell r="I2300" t="str">
            <v>Jam</v>
          </cell>
        </row>
        <row r="2302">
          <cell r="A2302" t="str">
            <v>4.</v>
          </cell>
          <cell r="C2302" t="str">
            <v>HARGA DASAR SATUAN UPAH, BAHAN DAN ALAT</v>
          </cell>
        </row>
        <row r="2303">
          <cell r="C2303" t="str">
            <v>Lihat lampiran.</v>
          </cell>
        </row>
        <row r="2305">
          <cell r="A2305" t="str">
            <v>5.</v>
          </cell>
          <cell r="C2305" t="str">
            <v>ANALISA HARGA SATUAN PEKERJAAN</v>
          </cell>
        </row>
        <row r="2306">
          <cell r="C2306" t="str">
            <v>Lihat perhitungan dalam FORMULIR STANDAR UNTUK</v>
          </cell>
        </row>
        <row r="2307">
          <cell r="C2307" t="str">
            <v>PEREKEMAN ANALISA MASING-MASING HARGA</v>
          </cell>
        </row>
        <row r="2308">
          <cell r="C2308" t="str">
            <v>SATUAN.</v>
          </cell>
        </row>
        <row r="2309">
          <cell r="C2309" t="str">
            <v>Didapat Harga Satuan Pekerjaan :</v>
          </cell>
        </row>
        <row r="2311">
          <cell r="C2311" t="str">
            <v xml:space="preserve">Rp.  </v>
          </cell>
          <cell r="D2311">
            <v>1633771.8260014895</v>
          </cell>
          <cell r="E2311" t="str">
            <v xml:space="preserve"> / M2</v>
          </cell>
        </row>
        <row r="2314">
          <cell r="A2314" t="str">
            <v>6.</v>
          </cell>
          <cell r="C2314" t="str">
            <v>WAKTU PELAKSANAAN YANG DIPERLUKAN</v>
          </cell>
        </row>
        <row r="2315">
          <cell r="C2315" t="str">
            <v>Masa Pelaksanaan :</v>
          </cell>
          <cell r="D2315" t="str">
            <v>. . . . . . . . . . . .</v>
          </cell>
          <cell r="E2315" t="str">
            <v>bulan</v>
          </cell>
        </row>
        <row r="2317">
          <cell r="A2317" t="str">
            <v>7.</v>
          </cell>
          <cell r="C2317" t="str">
            <v>VOLUME PEKERJAAN YANG DIPERLUKAN</v>
          </cell>
        </row>
        <row r="2318">
          <cell r="C2318" t="str">
            <v>Volume pekerjaan  :</v>
          </cell>
          <cell r="D2318">
            <v>0</v>
          </cell>
          <cell r="E2318" t="str">
            <v>M3</v>
          </cell>
        </row>
        <row r="2335">
          <cell r="A2335" t="str">
            <v>ITEM PEMBAYARAN NO.</v>
          </cell>
          <cell r="D2335" t="str">
            <v xml:space="preserve">:  3.4 </v>
          </cell>
          <cell r="J2335" t="str">
            <v>Analisa EI-312</v>
          </cell>
          <cell r="T2335" t="str">
            <v>Analisa EI-312</v>
          </cell>
        </row>
        <row r="2336">
          <cell r="A2336" t="str">
            <v>JENIS PEKERJAAN</v>
          </cell>
          <cell r="D2336" t="str">
            <v>:  Pengupasan Permukaan Aspal Lama dan Pencampuran Kembali</v>
          </cell>
        </row>
        <row r="2337">
          <cell r="A2337" t="str">
            <v>SATUAN PEMBAYARAN</v>
          </cell>
          <cell r="D2337" t="str">
            <v>:  M2</v>
          </cell>
          <cell r="H2337" t="str">
            <v xml:space="preserve">         URAIAN ANALISA HARGA SATUAN</v>
          </cell>
          <cell r="L2337" t="str">
            <v>FORMULIR STANDAR UNTUK</v>
          </cell>
        </row>
        <row r="2338">
          <cell r="L2338" t="str">
            <v>PEREKAMAN ANALISA MASING-MASING HARGA SATUAN</v>
          </cell>
        </row>
        <row r="2339">
          <cell r="L2339" t="str">
            <v xml:space="preserve">                                                                                                            </v>
          </cell>
        </row>
        <row r="2340">
          <cell r="A2340" t="str">
            <v>No.</v>
          </cell>
          <cell r="C2340" t="str">
            <v>U R A I A N</v>
          </cell>
          <cell r="G2340" t="str">
            <v>KODE</v>
          </cell>
          <cell r="H2340" t="str">
            <v>KOEF.</v>
          </cell>
          <cell r="I2340" t="str">
            <v>SATUAN</v>
          </cell>
          <cell r="J2340" t="str">
            <v>KETERANGAN</v>
          </cell>
        </row>
        <row r="2342">
          <cell r="L2342" t="str">
            <v>PROYEK</v>
          </cell>
          <cell r="O2342" t="str">
            <v>:</v>
          </cell>
        </row>
        <row r="2343">
          <cell r="A2343" t="str">
            <v>I.</v>
          </cell>
          <cell r="C2343" t="str">
            <v>ASUMSI</v>
          </cell>
          <cell r="L2343" t="str">
            <v>No. PAKET KONTRAK</v>
          </cell>
          <cell r="O2343" t="str">
            <v>:</v>
          </cell>
        </row>
        <row r="2344">
          <cell r="A2344">
            <v>1</v>
          </cell>
          <cell r="C2344" t="str">
            <v>Pekerjaan dilakukan secara mekananik</v>
          </cell>
          <cell r="L2344" t="str">
            <v>NAMA PAKET</v>
          </cell>
          <cell r="O2344" t="str">
            <v>:</v>
          </cell>
        </row>
        <row r="2345">
          <cell r="A2345">
            <v>2</v>
          </cell>
          <cell r="C2345" t="str">
            <v>Lokasi pekerjaan : sepanjang jalan</v>
          </cell>
          <cell r="L2345" t="str">
            <v>PROP / KAB / KODYA</v>
          </cell>
          <cell r="O2345" t="str">
            <v>:</v>
          </cell>
        </row>
        <row r="2346">
          <cell r="A2346">
            <v>3</v>
          </cell>
          <cell r="C2346" t="str">
            <v>Kondisi Jalan   :  sedang / baik</v>
          </cell>
          <cell r="L2346" t="str">
            <v>ITEM PEMBAYARAN NO.</v>
          </cell>
          <cell r="O2346" t="str">
            <v xml:space="preserve">:  3.4 </v>
          </cell>
          <cell r="R2346" t="str">
            <v>PERKIRAAN VOL. PEK.</v>
          </cell>
          <cell r="T2346" t="str">
            <v>:</v>
          </cell>
          <cell r="U2346">
            <v>0</v>
          </cell>
        </row>
        <row r="2347">
          <cell r="A2347">
            <v>4</v>
          </cell>
          <cell r="C2347" t="str">
            <v>Jam kerja efektif per-hari</v>
          </cell>
          <cell r="G2347" t="str">
            <v>Tk</v>
          </cell>
          <cell r="H2347">
            <v>7</v>
          </cell>
          <cell r="I2347" t="str">
            <v>Jam</v>
          </cell>
          <cell r="L2347" t="str">
            <v>JENIS PEKERJAAN</v>
          </cell>
          <cell r="O2347" t="str">
            <v>:  Pengupasan Permukaan Aspal Lama dan Pencampuran Kembali</v>
          </cell>
          <cell r="R2347" t="str">
            <v>TOTAL HARGA (Rp.)</v>
          </cell>
          <cell r="T2347" t="str">
            <v>:</v>
          </cell>
          <cell r="U2347">
            <v>0</v>
          </cell>
        </row>
        <row r="2348">
          <cell r="A2348">
            <v>5</v>
          </cell>
          <cell r="C2348" t="str">
            <v>Faktor pengembangan bahan</v>
          </cell>
          <cell r="G2348" t="str">
            <v>Fk</v>
          </cell>
          <cell r="H2348">
            <v>1.24</v>
          </cell>
          <cell r="I2348" t="str">
            <v>-</v>
          </cell>
          <cell r="L2348" t="str">
            <v>SATUAN PEMBAYARAN</v>
          </cell>
          <cell r="O2348" t="str">
            <v>:  M2</v>
          </cell>
          <cell r="R2348" t="str">
            <v>% THD. BIAYA PROYEK</v>
          </cell>
          <cell r="T2348" t="str">
            <v>:</v>
          </cell>
          <cell r="U2348" t="e">
            <v>#DIV/0!</v>
          </cell>
        </row>
        <row r="2349">
          <cell r="A2349">
            <v>6</v>
          </cell>
          <cell r="C2349" t="str">
            <v>Tebal penggaruan 15 cm</v>
          </cell>
        </row>
        <row r="2351">
          <cell r="A2351" t="str">
            <v>II.</v>
          </cell>
          <cell r="C2351" t="str">
            <v>URUTAN KERJA</v>
          </cell>
          <cell r="Q2351" t="str">
            <v>PERKIRAAN</v>
          </cell>
          <cell r="R2351" t="str">
            <v>HARGA</v>
          </cell>
          <cell r="S2351" t="str">
            <v>JUMLAH</v>
          </cell>
        </row>
        <row r="2352">
          <cell r="A2352">
            <v>1</v>
          </cell>
          <cell r="C2352" t="str">
            <v>Penggaruan perkerasan dengan alat cold recycler</v>
          </cell>
          <cell r="L2352" t="str">
            <v>NO.</v>
          </cell>
          <cell r="N2352" t="str">
            <v>KOMPONEN</v>
          </cell>
          <cell r="P2352" t="str">
            <v>SATUAN</v>
          </cell>
          <cell r="Q2352" t="str">
            <v>KUANTITAS</v>
          </cell>
          <cell r="R2352" t="str">
            <v>SATUAN</v>
          </cell>
          <cell r="S2352" t="str">
            <v>HARGA</v>
          </cell>
        </row>
        <row r="2353">
          <cell r="A2353">
            <v>2</v>
          </cell>
          <cell r="C2353" t="str">
            <v xml:space="preserve">Pencampuran kembali dengan bahan pengikat di dalam </v>
          </cell>
          <cell r="R2353" t="str">
            <v>(Rp.)</v>
          </cell>
          <cell r="S2353" t="str">
            <v>(Rp.)</v>
          </cell>
        </row>
        <row r="2354">
          <cell r="C2354" t="str">
            <v>cold recycler</v>
          </cell>
        </row>
        <row r="2355">
          <cell r="A2355">
            <v>3</v>
          </cell>
          <cell r="C2355" t="str">
            <v>Penghamparan langsung dari alat cold recycler</v>
          </cell>
        </row>
        <row r="2356">
          <cell r="A2356">
            <v>4</v>
          </cell>
          <cell r="C2356" t="str">
            <v>Pemadatan dengan alat pemadat tandem roller</v>
          </cell>
          <cell r="G2356" t="str">
            <v xml:space="preserve"> </v>
          </cell>
          <cell r="H2356" t="str">
            <v xml:space="preserve"> </v>
          </cell>
          <cell r="I2356" t="str">
            <v xml:space="preserve"> </v>
          </cell>
          <cell r="L2356" t="str">
            <v>A.</v>
          </cell>
          <cell r="N2356" t="str">
            <v>TENAGA</v>
          </cell>
        </row>
        <row r="2358">
          <cell r="L2358" t="str">
            <v>1.</v>
          </cell>
          <cell r="N2358" t="str">
            <v>Pekerja</v>
          </cell>
          <cell r="O2358" t="str">
            <v>(L01)</v>
          </cell>
          <cell r="P2358" t="str">
            <v>Jam</v>
          </cell>
          <cell r="Q2358">
            <v>2</v>
          </cell>
          <cell r="R2358">
            <v>2857.14</v>
          </cell>
          <cell r="U2358">
            <v>5714.28</v>
          </cell>
        </row>
        <row r="2359">
          <cell r="L2359" t="str">
            <v>2.</v>
          </cell>
          <cell r="N2359" t="str">
            <v>Mandor</v>
          </cell>
          <cell r="O2359" t="str">
            <v>(L03)</v>
          </cell>
          <cell r="P2359" t="str">
            <v>Jam</v>
          </cell>
          <cell r="Q2359">
            <v>0.5</v>
          </cell>
          <cell r="R2359">
            <v>3214.29</v>
          </cell>
          <cell r="U2359">
            <v>1607.145</v>
          </cell>
        </row>
        <row r="2360">
          <cell r="A2360" t="str">
            <v>III.</v>
          </cell>
          <cell r="C2360" t="str">
            <v>PEMAKAIAN BAHAN, ALAT DAN TENAGA</v>
          </cell>
        </row>
        <row r="2362">
          <cell r="A2362" t="str">
            <v xml:space="preserve">   1.</v>
          </cell>
          <cell r="C2362" t="str">
            <v>BAHAN</v>
          </cell>
          <cell r="Q2362" t="str">
            <v xml:space="preserve">JUMLAH HARGA TENAGA   </v>
          </cell>
          <cell r="U2362">
            <v>7321.4249999999993</v>
          </cell>
        </row>
        <row r="2363">
          <cell r="C2363" t="str">
            <v xml:space="preserve">Bahan pengikat (semen, aspal dan air) </v>
          </cell>
        </row>
        <row r="2364">
          <cell r="C2364" t="str">
            <v>- semen</v>
          </cell>
          <cell r="D2364">
            <v>0.06</v>
          </cell>
          <cell r="L2364" t="str">
            <v>B.</v>
          </cell>
          <cell r="N2364" t="str">
            <v>BAHAN</v>
          </cell>
        </row>
        <row r="2365">
          <cell r="C2365" t="str">
            <v>- aspal</v>
          </cell>
          <cell r="D2365">
            <v>0.03</v>
          </cell>
        </row>
        <row r="2366">
          <cell r="C2366" t="str">
            <v>- air</v>
          </cell>
        </row>
        <row r="2368">
          <cell r="A2368" t="str">
            <v xml:space="preserve">   2.</v>
          </cell>
          <cell r="C2368" t="str">
            <v>ALAT</v>
          </cell>
        </row>
        <row r="2369">
          <cell r="A2369" t="str">
            <v xml:space="preserve">   2.a.</v>
          </cell>
          <cell r="C2369" t="str">
            <v>COLD RECYCLER</v>
          </cell>
          <cell r="J2369" t="str">
            <v xml:space="preserve"> (E05/26/10/15)</v>
          </cell>
        </row>
        <row r="2370">
          <cell r="C2370" t="str">
            <v>Produksi per jam</v>
          </cell>
          <cell r="G2370" t="str">
            <v>Q1</v>
          </cell>
          <cell r="H2370">
            <v>2</v>
          </cell>
          <cell r="I2370" t="str">
            <v>M3 / Jam</v>
          </cell>
        </row>
        <row r="2372">
          <cell r="C2372" t="str">
            <v>Koefisien Alat / m3</v>
          </cell>
          <cell r="D2372" t="str">
            <v xml:space="preserve"> =  1  :  Q1</v>
          </cell>
          <cell r="G2372" t="str">
            <v>(E05/26)</v>
          </cell>
          <cell r="H2372">
            <v>0.5</v>
          </cell>
          <cell r="I2372" t="str">
            <v>Jam</v>
          </cell>
        </row>
        <row r="2375">
          <cell r="A2375" t="str">
            <v xml:space="preserve">   2.b.</v>
          </cell>
          <cell r="C2375" t="str">
            <v>WATER TANKER</v>
          </cell>
          <cell r="G2375" t="str">
            <v>(E08)</v>
          </cell>
        </row>
        <row r="2378">
          <cell r="A2378" t="str">
            <v xml:space="preserve">   2.c.</v>
          </cell>
          <cell r="C2378" t="str">
            <v>ASPHALT TANKER</v>
          </cell>
        </row>
        <row r="2381">
          <cell r="A2381" t="str">
            <v xml:space="preserve">   2.d.</v>
          </cell>
          <cell r="C2381" t="str">
            <v>CEMENT TANKER</v>
          </cell>
        </row>
        <row r="2397">
          <cell r="J2397" t="str">
            <v>Berlanjut ke halaman berikut</v>
          </cell>
        </row>
        <row r="2398">
          <cell r="A2398" t="str">
            <v>ITEM PEMBAYARAN NO.</v>
          </cell>
          <cell r="D2398" t="str">
            <v xml:space="preserve">:  3.4 </v>
          </cell>
          <cell r="J2398" t="str">
            <v>Analisa EI-312</v>
          </cell>
        </row>
        <row r="2399">
          <cell r="A2399" t="str">
            <v>JENIS PEKERJAAN</v>
          </cell>
          <cell r="D2399" t="str">
            <v>:  Pengupasan Permukaan Aspal Lama dan Pencampuran Kembali</v>
          </cell>
        </row>
        <row r="2400">
          <cell r="A2400" t="str">
            <v>SATUAN PEMBAYARAN</v>
          </cell>
          <cell r="D2400" t="str">
            <v>:  M2</v>
          </cell>
          <cell r="H2400" t="str">
            <v xml:space="preserve">         URAIAN ANALISA HARGA SATUAN</v>
          </cell>
        </row>
        <row r="2401">
          <cell r="J2401" t="str">
            <v>Lanjutan</v>
          </cell>
        </row>
        <row r="2403">
          <cell r="A2403" t="str">
            <v>No.</v>
          </cell>
          <cell r="C2403" t="str">
            <v>U R A I A N</v>
          </cell>
          <cell r="G2403" t="str">
            <v>KODE</v>
          </cell>
          <cell r="H2403" t="str">
            <v>KOEF.</v>
          </cell>
          <cell r="I2403" t="str">
            <v>SATUAN</v>
          </cell>
          <cell r="J2403" t="str">
            <v>KETERANGAN</v>
          </cell>
        </row>
        <row r="2406">
          <cell r="A2406" t="str">
            <v xml:space="preserve">   3.</v>
          </cell>
          <cell r="C2406" t="str">
            <v>TENAGA</v>
          </cell>
        </row>
        <row r="2407">
          <cell r="C2407" t="str">
            <v>Produksi menentukan :COLD RECYCLER</v>
          </cell>
          <cell r="G2407" t="str">
            <v>Q1</v>
          </cell>
          <cell r="H2407">
            <v>2</v>
          </cell>
          <cell r="I2407" t="str">
            <v>M2/Jam</v>
          </cell>
        </row>
        <row r="2408">
          <cell r="C2408" t="str">
            <v>Produksi Galian / hari  =  Tk x Q1</v>
          </cell>
          <cell r="G2408" t="str">
            <v>Qt</v>
          </cell>
          <cell r="H2408">
            <v>14</v>
          </cell>
          <cell r="I2408" t="str">
            <v>M3</v>
          </cell>
        </row>
        <row r="2409">
          <cell r="C2409" t="str">
            <v>Kebutuhan tenaga :</v>
          </cell>
        </row>
        <row r="2410">
          <cell r="D2410" t="str">
            <v>- Pekerja</v>
          </cell>
          <cell r="G2410" t="str">
            <v>P</v>
          </cell>
          <cell r="H2410">
            <v>4</v>
          </cell>
          <cell r="I2410" t="str">
            <v>orang</v>
          </cell>
        </row>
        <row r="2411">
          <cell r="D2411" t="str">
            <v>- Mandor</v>
          </cell>
          <cell r="G2411" t="str">
            <v>M</v>
          </cell>
          <cell r="H2411">
            <v>1</v>
          </cell>
          <cell r="I2411" t="str">
            <v>orang</v>
          </cell>
        </row>
        <row r="2413">
          <cell r="C2413" t="str">
            <v>Koefisien tenaga / M3   :</v>
          </cell>
        </row>
        <row r="2414">
          <cell r="D2414" t="str">
            <v>- Pekerja</v>
          </cell>
          <cell r="E2414" t="str">
            <v>= (Tk x P) : Qt</v>
          </cell>
          <cell r="G2414" t="str">
            <v>(L01)</v>
          </cell>
          <cell r="H2414">
            <v>2</v>
          </cell>
          <cell r="I2414" t="str">
            <v>Jam</v>
          </cell>
        </row>
        <row r="2415">
          <cell r="D2415" t="str">
            <v>- Mandor</v>
          </cell>
          <cell r="E2415" t="str">
            <v>= (Tk x M) : Qt</v>
          </cell>
          <cell r="G2415" t="str">
            <v>(L03)</v>
          </cell>
          <cell r="H2415">
            <v>0.5</v>
          </cell>
          <cell r="I2415" t="str">
            <v>Jam</v>
          </cell>
        </row>
        <row r="2417">
          <cell r="A2417" t="str">
            <v>4.</v>
          </cell>
          <cell r="C2417" t="str">
            <v>HARGA DASAR SATUAN UPAH, BAHAN DAN ALAT</v>
          </cell>
        </row>
        <row r="2418">
          <cell r="C2418" t="str">
            <v>Lihat lampiran.</v>
          </cell>
        </row>
        <row r="2420">
          <cell r="A2420" t="str">
            <v>5.</v>
          </cell>
          <cell r="C2420" t="str">
            <v>ANALISA HARGA SATUAN PEKERJAAN</v>
          </cell>
        </row>
        <row r="2421">
          <cell r="C2421" t="str">
            <v>Lihat perhitungan dalam FORMULIR STANDAR UNTUK</v>
          </cell>
        </row>
        <row r="2422">
          <cell r="C2422" t="str">
            <v>PEREKEMAN ANALISA MASING-MASING HARGA</v>
          </cell>
        </row>
        <row r="2423">
          <cell r="C2423" t="str">
            <v>SATUAN.</v>
          </cell>
        </row>
        <row r="2424">
          <cell r="C2424" t="str">
            <v>Didapat Harga Satuan Pekerjaan :</v>
          </cell>
        </row>
        <row r="2426">
          <cell r="C2426" t="str">
            <v xml:space="preserve">Rp.  </v>
          </cell>
          <cell r="D2426">
            <v>8053.5674999999992</v>
          </cell>
          <cell r="E2426" t="str">
            <v xml:space="preserve"> / M3</v>
          </cell>
        </row>
        <row r="2429">
          <cell r="A2429" t="str">
            <v>6.</v>
          </cell>
          <cell r="C2429" t="str">
            <v>WAKTU PELAKSANAAN YANG DIPERLUKAN</v>
          </cell>
        </row>
        <row r="2430">
          <cell r="C2430" t="str">
            <v>Masa Pelaksanaan :</v>
          </cell>
          <cell r="D2430" t="str">
            <v>. . . . . . . . . . . .</v>
          </cell>
          <cell r="E2430" t="str">
            <v>bulan</v>
          </cell>
        </row>
        <row r="2432">
          <cell r="A2432" t="str">
            <v>7.</v>
          </cell>
          <cell r="C2432" t="str">
            <v>VOLUME PEKERJAAN YANG DIPERLUKAN</v>
          </cell>
        </row>
        <row r="2433">
          <cell r="C2433" t="str">
            <v>Volume pekerjaan  :</v>
          </cell>
          <cell r="D2433">
            <v>0</v>
          </cell>
          <cell r="E2433" t="str">
            <v>M3</v>
          </cell>
        </row>
        <row r="2452">
          <cell r="N2452" t="str">
            <v>yang dibayar dari kontrak) dan biaya-biaya lainnya.</v>
          </cell>
        </row>
        <row r="2453">
          <cell r="A2453" t="str">
            <v>ITEM PEMBAYARAN NO.</v>
          </cell>
          <cell r="D2453" t="str">
            <v>:  3.2 (4)</v>
          </cell>
          <cell r="J2453">
            <v>0</v>
          </cell>
          <cell r="T2453" t="str">
            <v>Analisa EI-322</v>
          </cell>
        </row>
        <row r="2454">
          <cell r="A2454" t="str">
            <v>JENIS PEKERJAAN</v>
          </cell>
          <cell r="D2454" t="str">
            <v xml:space="preserve">:  Timbunan Batu dengan Manual </v>
          </cell>
        </row>
        <row r="2455">
          <cell r="A2455" t="str">
            <v>SATUAN PEMBAYARAN</v>
          </cell>
          <cell r="D2455" t="str">
            <v>:  M3</v>
          </cell>
          <cell r="E2455" t="str">
            <v xml:space="preserve"> </v>
          </cell>
          <cell r="H2455" t="str">
            <v xml:space="preserve">         URAIAN ANALISA HARGA SATUAN</v>
          </cell>
          <cell r="L2455" t="str">
            <v>FORMULIR STANDAR UNTUK</v>
          </cell>
        </row>
        <row r="2456">
          <cell r="L2456" t="str">
            <v>PEREKAMAN ANALISA MASING-MASING HARGA SATUAN</v>
          </cell>
        </row>
        <row r="2457">
          <cell r="L2457" t="str">
            <v xml:space="preserve">                                                                                                            </v>
          </cell>
        </row>
        <row r="2458">
          <cell r="A2458" t="str">
            <v>No.</v>
          </cell>
          <cell r="C2458" t="str">
            <v>U R A I A N</v>
          </cell>
          <cell r="G2458" t="str">
            <v>KODE</v>
          </cell>
          <cell r="H2458" t="str">
            <v>KOEF.</v>
          </cell>
          <cell r="I2458" t="str">
            <v>SATUAN</v>
          </cell>
          <cell r="J2458" t="str">
            <v>KETERANGAN</v>
          </cell>
        </row>
        <row r="2460">
          <cell r="L2460" t="str">
            <v>PROYEK</v>
          </cell>
          <cell r="O2460" t="str">
            <v>:</v>
          </cell>
        </row>
        <row r="2461">
          <cell r="A2461" t="str">
            <v>I.</v>
          </cell>
          <cell r="C2461" t="str">
            <v>ASUMSI</v>
          </cell>
          <cell r="L2461" t="str">
            <v>No. PAKET KONTRAK</v>
          </cell>
          <cell r="O2461" t="str">
            <v>:</v>
          </cell>
        </row>
        <row r="2462">
          <cell r="A2462">
            <v>1</v>
          </cell>
          <cell r="C2462" t="str">
            <v>Pekerjaan dilakukan secara manual</v>
          </cell>
          <cell r="L2462" t="str">
            <v>NAMA PAKET</v>
          </cell>
          <cell r="O2462" t="str">
            <v>:</v>
          </cell>
        </row>
        <row r="2463">
          <cell r="A2463">
            <v>2</v>
          </cell>
          <cell r="C2463" t="str">
            <v>Lokasi pekerjaan : sepanjang jalan</v>
          </cell>
          <cell r="L2463" t="str">
            <v>PROP / KAB / KODYA</v>
          </cell>
          <cell r="O2463" t="str">
            <v>:</v>
          </cell>
        </row>
        <row r="2464">
          <cell r="A2464">
            <v>3</v>
          </cell>
          <cell r="C2464" t="str">
            <v>Kondisi Jalan   :  sedang / baik</v>
          </cell>
          <cell r="L2464" t="str">
            <v>ITEM PEMBAYARAN NO.</v>
          </cell>
          <cell r="O2464" t="str">
            <v>:  3.2 (4)</v>
          </cell>
          <cell r="R2464" t="str">
            <v>PERKIRAAN VOL. PEK.</v>
          </cell>
          <cell r="T2464" t="str">
            <v>:</v>
          </cell>
          <cell r="U2464">
            <v>1</v>
          </cell>
        </row>
        <row r="2465">
          <cell r="A2465">
            <v>4</v>
          </cell>
          <cell r="C2465" t="str">
            <v>Jam kerja efektif per-hari</v>
          </cell>
          <cell r="G2465" t="str">
            <v>Tk</v>
          </cell>
          <cell r="H2465">
            <v>7</v>
          </cell>
          <cell r="I2465" t="str">
            <v>Jam</v>
          </cell>
          <cell r="L2465" t="str">
            <v>JENIS PEKERJAAN</v>
          </cell>
          <cell r="O2465" t="str">
            <v xml:space="preserve">:  Timbunan Batu dengan Manual </v>
          </cell>
          <cell r="R2465" t="str">
            <v>TOTAL HARGA (Rp.)</v>
          </cell>
          <cell r="T2465" t="str">
            <v>:</v>
          </cell>
          <cell r="U2465">
            <v>263185.3</v>
          </cell>
        </row>
        <row r="2466">
          <cell r="A2466">
            <v>5</v>
          </cell>
          <cell r="C2466" t="str">
            <v>Faktor pengembangan bahan</v>
          </cell>
          <cell r="G2466" t="str">
            <v>Fk</v>
          </cell>
          <cell r="H2466">
            <v>1.24</v>
          </cell>
          <cell r="I2466" t="str">
            <v>-</v>
          </cell>
          <cell r="L2466" t="str">
            <v>SATUAN PEMBAYARAN</v>
          </cell>
          <cell r="O2466" t="str">
            <v>:  M3</v>
          </cell>
          <cell r="P2466" t="str">
            <v xml:space="preserve"> </v>
          </cell>
          <cell r="R2466" t="str">
            <v>% THD. BIAYA PROYEK</v>
          </cell>
          <cell r="T2466" t="str">
            <v>:</v>
          </cell>
          <cell r="U2466" t="e">
            <v>#DIV/0!</v>
          </cell>
        </row>
        <row r="2467">
          <cell r="A2467">
            <v>6</v>
          </cell>
          <cell r="C2467" t="str">
            <v>Tebal hamparan padat</v>
          </cell>
          <cell r="G2467" t="str">
            <v>t</v>
          </cell>
          <cell r="H2467">
            <v>0.45</v>
          </cell>
          <cell r="I2467" t="str">
            <v>M</v>
          </cell>
        </row>
        <row r="2469">
          <cell r="A2469" t="str">
            <v>II.</v>
          </cell>
          <cell r="C2469" t="str">
            <v>URUTAN KERJA</v>
          </cell>
          <cell r="Q2469" t="str">
            <v>PERKIRAAN</v>
          </cell>
          <cell r="R2469" t="str">
            <v>HARGA</v>
          </cell>
          <cell r="S2469" t="str">
            <v>JUMLAH</v>
          </cell>
        </row>
        <row r="2470">
          <cell r="A2470">
            <v>1</v>
          </cell>
          <cell r="C2470" t="str">
            <v>Whell Loader memuat batu ke dalam Dump Truck</v>
          </cell>
          <cell r="L2470" t="str">
            <v>NO.</v>
          </cell>
          <cell r="N2470" t="str">
            <v>KOMPONEN</v>
          </cell>
          <cell r="P2470" t="str">
            <v>SATUAN</v>
          </cell>
          <cell r="Q2470" t="str">
            <v>KUANTITAS</v>
          </cell>
          <cell r="R2470" t="str">
            <v>SATUAN</v>
          </cell>
          <cell r="S2470" t="str">
            <v>HARGA</v>
          </cell>
        </row>
        <row r="2471">
          <cell r="A2471">
            <v>2</v>
          </cell>
          <cell r="C2471" t="str">
            <v>Dump Truck mengangkut ke lapangan dengan jarak</v>
          </cell>
          <cell r="R2471" t="str">
            <v>(Rp.)</v>
          </cell>
          <cell r="S2471" t="str">
            <v>(Rp.)</v>
          </cell>
        </row>
        <row r="2472">
          <cell r="C2472" t="str">
            <v>quari ke lapangan</v>
          </cell>
          <cell r="G2472" t="str">
            <v>L</v>
          </cell>
          <cell r="H2472">
            <v>80.61</v>
          </cell>
          <cell r="I2472" t="str">
            <v>Km</v>
          </cell>
        </row>
        <row r="2473">
          <cell r="A2473">
            <v>3</v>
          </cell>
          <cell r="C2473" t="str">
            <v>Material Timbunan Batu dihampar secara Manual</v>
          </cell>
        </row>
        <row r="2474">
          <cell r="A2474">
            <v>4</v>
          </cell>
          <cell r="C2474" t="str">
            <v>Hamparan batu dipadatkan menggunakan Vibratory</v>
          </cell>
        </row>
        <row r="2475">
          <cell r="C2475" t="str">
            <v>Roller</v>
          </cell>
        </row>
        <row r="2476">
          <cell r="A2476">
            <v>5</v>
          </cell>
          <cell r="C2476" t="str">
            <v>Agregat pengunci dihampar dari Dump Truck, diratakan</v>
          </cell>
        </row>
        <row r="2477">
          <cell r="C2477" t="str">
            <v>menggunakan Bulldozer</v>
          </cell>
        </row>
        <row r="2478">
          <cell r="A2478">
            <v>6</v>
          </cell>
          <cell r="C2478" t="str">
            <v>Hamparan material dipadatkan menggunakan Vibratory</v>
          </cell>
          <cell r="L2478" t="str">
            <v>A.</v>
          </cell>
          <cell r="N2478" t="str">
            <v>TENAGA</v>
          </cell>
        </row>
        <row r="2479">
          <cell r="C2479" t="str">
            <v>Roller</v>
          </cell>
        </row>
        <row r="2480">
          <cell r="C2480" t="str">
            <v xml:space="preserve"> </v>
          </cell>
          <cell r="L2480" t="str">
            <v>1.</v>
          </cell>
          <cell r="N2480" t="str">
            <v>Pekerja</v>
          </cell>
          <cell r="O2480" t="str">
            <v>(L01)</v>
          </cell>
          <cell r="P2480" t="str">
            <v>Jam</v>
          </cell>
          <cell r="Q2480">
            <v>0.14755317566562548</v>
          </cell>
          <cell r="R2480">
            <v>2857.14</v>
          </cell>
          <cell r="U2480">
            <v>421.58008032128515</v>
          </cell>
        </row>
        <row r="2481">
          <cell r="A2481">
            <v>7</v>
          </cell>
          <cell r="C2481" t="str">
            <v>Selama pemadatan sekelompok pekerja  akan</v>
          </cell>
          <cell r="L2481" t="str">
            <v>2.</v>
          </cell>
          <cell r="N2481" t="str">
            <v>Mandor</v>
          </cell>
          <cell r="O2481" t="str">
            <v>(L02)</v>
          </cell>
          <cell r="P2481" t="str">
            <v>Jam</v>
          </cell>
          <cell r="Q2481">
            <v>1.8444146958203185E-2</v>
          </cell>
          <cell r="R2481">
            <v>3214.29</v>
          </cell>
          <cell r="U2481">
            <v>59.284837126282916</v>
          </cell>
        </row>
        <row r="2482">
          <cell r="C2482" t="str">
            <v>merapikan tepi hamparan dan level permukaan</v>
          </cell>
        </row>
        <row r="2483">
          <cell r="C2483" t="str">
            <v>dengan menggunakan alat bantu</v>
          </cell>
        </row>
        <row r="2484">
          <cell r="Q2484" t="str">
            <v xml:space="preserve">JUMLAH HARGA TENAGA   </v>
          </cell>
          <cell r="U2484">
            <v>480.86491744756808</v>
          </cell>
        </row>
        <row r="2485">
          <cell r="A2485" t="str">
            <v>III.</v>
          </cell>
          <cell r="C2485" t="str">
            <v>PEMAKAIAN BAHAN, ALAT DAN TENAGA</v>
          </cell>
        </row>
        <row r="2486">
          <cell r="A2486" t="str">
            <v xml:space="preserve">   1.</v>
          </cell>
          <cell r="C2486" t="str">
            <v>BAHAN</v>
          </cell>
          <cell r="L2486" t="str">
            <v>B.</v>
          </cell>
          <cell r="N2486" t="str">
            <v>BAHAN</v>
          </cell>
        </row>
        <row r="2487">
          <cell r="A2487" t="str">
            <v>1.a.</v>
          </cell>
          <cell r="C2487" t="str">
            <v>Bahan timbunan</v>
          </cell>
          <cell r="D2487" t="str">
            <v xml:space="preserve"> =  1 x  Fk</v>
          </cell>
          <cell r="G2487" t="str">
            <v>(M08)</v>
          </cell>
          <cell r="H2487">
            <v>1.24</v>
          </cell>
          <cell r="I2487" t="str">
            <v>M3</v>
          </cell>
          <cell r="J2487" t="str">
            <v xml:space="preserve"> Borrow Pit</v>
          </cell>
        </row>
        <row r="2489">
          <cell r="A2489" t="str">
            <v xml:space="preserve">   2.</v>
          </cell>
          <cell r="C2489" t="str">
            <v>ALAT</v>
          </cell>
        </row>
        <row r="2490">
          <cell r="A2490" t="str">
            <v>2.a.</v>
          </cell>
          <cell r="C2490" t="str">
            <v>WHELL  LOADER</v>
          </cell>
          <cell r="G2490" t="str">
            <v>(E15)</v>
          </cell>
        </row>
        <row r="2491">
          <cell r="C2491" t="str">
            <v>Kapasitas  Bucket</v>
          </cell>
          <cell r="G2491" t="str">
            <v>V</v>
          </cell>
          <cell r="H2491">
            <v>1.5</v>
          </cell>
          <cell r="I2491" t="str">
            <v>M3</v>
          </cell>
        </row>
        <row r="2492">
          <cell r="C2492" t="str">
            <v>Faktor Bucket</v>
          </cell>
          <cell r="G2492" t="str">
            <v>Fb</v>
          </cell>
          <cell r="H2492">
            <v>0.9</v>
          </cell>
          <cell r="I2492" t="str">
            <v>-</v>
          </cell>
        </row>
        <row r="2493">
          <cell r="C2493" t="str">
            <v>Faktor Efisiensi Alat</v>
          </cell>
          <cell r="G2493" t="str">
            <v>Fa</v>
          </cell>
          <cell r="H2493">
            <v>0.83</v>
          </cell>
          <cell r="I2493" t="str">
            <v>-</v>
          </cell>
        </row>
        <row r="2494">
          <cell r="C2494" t="str">
            <v>Waktu sklus</v>
          </cell>
          <cell r="G2494" t="str">
            <v>Ts1</v>
          </cell>
          <cell r="I2494" t="str">
            <v>menit</v>
          </cell>
        </row>
        <row r="2495">
          <cell r="C2495" t="str">
            <v>- Muat</v>
          </cell>
          <cell r="G2495" t="str">
            <v>T1</v>
          </cell>
          <cell r="H2495">
            <v>0.5</v>
          </cell>
          <cell r="I2495" t="str">
            <v>menit</v>
          </cell>
        </row>
        <row r="2496">
          <cell r="C2496" t="str">
            <v>- Lain-lain</v>
          </cell>
          <cell r="G2496" t="str">
            <v>T2</v>
          </cell>
          <cell r="H2496">
            <v>0.5</v>
          </cell>
          <cell r="I2496" t="str">
            <v>menit</v>
          </cell>
        </row>
        <row r="2497">
          <cell r="G2497" t="str">
            <v>Ts1</v>
          </cell>
          <cell r="H2497">
            <v>1</v>
          </cell>
          <cell r="I2497" t="str">
            <v>menit</v>
          </cell>
        </row>
        <row r="2499">
          <cell r="C2499" t="str">
            <v>Kapasitas Produksi / Jam =</v>
          </cell>
          <cell r="E2499" t="str">
            <v>V  x  Fb x Fa x 60</v>
          </cell>
          <cell r="G2499" t="str">
            <v>Q1</v>
          </cell>
          <cell r="H2499">
            <v>54.217741935483872</v>
          </cell>
          <cell r="I2499" t="str">
            <v>M3</v>
          </cell>
        </row>
        <row r="2500">
          <cell r="E2500" t="str">
            <v xml:space="preserve">      Fk x Ts1</v>
          </cell>
        </row>
        <row r="2502">
          <cell r="C2502" t="str">
            <v>Koefisienalat / M3</v>
          </cell>
          <cell r="D2502" t="str">
            <v xml:space="preserve"> =   1 : Q1</v>
          </cell>
          <cell r="G2502" t="str">
            <v>(E15)</v>
          </cell>
          <cell r="H2502">
            <v>1.8444146958203182E-2</v>
          </cell>
          <cell r="I2502" t="str">
            <v>Jam</v>
          </cell>
        </row>
        <row r="2504">
          <cell r="A2504" t="str">
            <v xml:space="preserve">   2.b.</v>
          </cell>
          <cell r="C2504" t="str">
            <v>DUMP TRUCK</v>
          </cell>
          <cell r="G2504" t="str">
            <v>(E08)</v>
          </cell>
        </row>
        <row r="2505">
          <cell r="C2505" t="str">
            <v>Kapasitas bak</v>
          </cell>
          <cell r="G2505" t="str">
            <v>V</v>
          </cell>
          <cell r="H2505">
            <v>6.666666666666667</v>
          </cell>
          <cell r="I2505" t="str">
            <v>M3</v>
          </cell>
        </row>
        <row r="2506">
          <cell r="C2506" t="str">
            <v>Faktor  efisiensi alat</v>
          </cell>
          <cell r="G2506" t="str">
            <v>Fa</v>
          </cell>
          <cell r="H2506">
            <v>0.83</v>
          </cell>
          <cell r="I2506" t="str">
            <v>-</v>
          </cell>
        </row>
        <row r="2507">
          <cell r="C2507" t="str">
            <v>Kecepatan rata-rata bermuatan</v>
          </cell>
          <cell r="G2507" t="str">
            <v>v1</v>
          </cell>
          <cell r="H2507">
            <v>40</v>
          </cell>
          <cell r="I2507" t="str">
            <v>KM/Jam</v>
          </cell>
        </row>
        <row r="2508">
          <cell r="C2508" t="str">
            <v>Kecepatan rata-rata kosong</v>
          </cell>
          <cell r="G2508" t="str">
            <v>v2</v>
          </cell>
          <cell r="H2508">
            <v>60</v>
          </cell>
          <cell r="I2508" t="str">
            <v>KM/Jam</v>
          </cell>
        </row>
        <row r="2509">
          <cell r="C2509" t="str">
            <v>Waktusiklus :</v>
          </cell>
          <cell r="G2509" t="str">
            <v>Ts2</v>
          </cell>
        </row>
        <row r="2510">
          <cell r="C2510" t="str">
            <v>-  Waktu tempuh isi   = (L : v1) x 60</v>
          </cell>
          <cell r="G2510" t="str">
            <v>T1</v>
          </cell>
          <cell r="H2510">
            <v>120.91499999999999</v>
          </cell>
          <cell r="I2510" t="str">
            <v>menit</v>
          </cell>
        </row>
        <row r="2511">
          <cell r="C2511" t="str">
            <v>-  Waktu tempuh kosong   = (L : v2) x 60</v>
          </cell>
          <cell r="G2511" t="str">
            <v>T2</v>
          </cell>
          <cell r="H2511">
            <v>80.61</v>
          </cell>
          <cell r="I2511" t="str">
            <v>menit</v>
          </cell>
        </row>
        <row r="2512">
          <cell r="C2512" t="str">
            <v>- Lain-lain</v>
          </cell>
          <cell r="G2512" t="str">
            <v>T3</v>
          </cell>
          <cell r="H2512">
            <v>4</v>
          </cell>
          <cell r="I2512" t="str">
            <v>menit</v>
          </cell>
        </row>
        <row r="2513">
          <cell r="G2513" t="str">
            <v>Ts2</v>
          </cell>
          <cell r="H2513">
            <v>205.52499999999998</v>
          </cell>
          <cell r="I2513" t="str">
            <v>menit</v>
          </cell>
        </row>
        <row r="2517">
          <cell r="J2517" t="str">
            <v>Berlanjut ke halaman berikut</v>
          </cell>
        </row>
        <row r="2518">
          <cell r="A2518" t="str">
            <v>ITEM PEMBAYARAN NO.</v>
          </cell>
          <cell r="D2518" t="str">
            <v>:  3.2 (4)</v>
          </cell>
          <cell r="J2518">
            <v>0</v>
          </cell>
        </row>
        <row r="2519">
          <cell r="A2519" t="str">
            <v>JENIS PEKERJAAN</v>
          </cell>
          <cell r="D2519" t="str">
            <v xml:space="preserve">:  Timbunan Batu dengan Manual </v>
          </cell>
        </row>
        <row r="2520">
          <cell r="A2520" t="str">
            <v>SATUAN PEMBAYARAN</v>
          </cell>
          <cell r="D2520" t="str">
            <v>:  M3</v>
          </cell>
          <cell r="E2520" t="str">
            <v xml:space="preserve"> </v>
          </cell>
          <cell r="H2520" t="str">
            <v xml:space="preserve">         URAIAN ANALISA HARGA SATUAN</v>
          </cell>
        </row>
        <row r="2521">
          <cell r="J2521" t="str">
            <v>Lanjutan</v>
          </cell>
        </row>
        <row r="2523">
          <cell r="A2523" t="str">
            <v>No.</v>
          </cell>
          <cell r="C2523" t="str">
            <v>U R A I A N</v>
          </cell>
          <cell r="G2523" t="str">
            <v>KODE</v>
          </cell>
          <cell r="H2523" t="str">
            <v>KOEF.</v>
          </cell>
          <cell r="I2523" t="str">
            <v>SATUAN</v>
          </cell>
          <cell r="J2523" t="str">
            <v>KETERANGAN</v>
          </cell>
        </row>
        <row r="2526">
          <cell r="C2526" t="str">
            <v>Kapasitas Produksi / Jam   =</v>
          </cell>
          <cell r="E2526" t="str">
            <v>V x Fa x 60</v>
          </cell>
          <cell r="G2526" t="str">
            <v>Q2</v>
          </cell>
          <cell r="H2526">
            <v>1.3027219826486851</v>
          </cell>
          <cell r="I2526" t="str">
            <v>M3</v>
          </cell>
        </row>
        <row r="2527">
          <cell r="E2527" t="str">
            <v xml:space="preserve">    Fk x Ts2</v>
          </cell>
        </row>
        <row r="2529">
          <cell r="C2529" t="str">
            <v>Koefisien Alat / M3</v>
          </cell>
          <cell r="D2529" t="str">
            <v xml:space="preserve"> =  1  :  Q2</v>
          </cell>
          <cell r="G2529" t="str">
            <v>(E08)</v>
          </cell>
          <cell r="H2529">
            <v>0.76762349397590346</v>
          </cell>
          <cell r="I2529" t="str">
            <v>Jam</v>
          </cell>
        </row>
        <row r="2531">
          <cell r="A2531" t="str">
            <v>2.c.</v>
          </cell>
          <cell r="C2531" t="str">
            <v>BULLDOZER</v>
          </cell>
          <cell r="G2531" t="str">
            <v>(E13)</v>
          </cell>
        </row>
        <row r="2532">
          <cell r="C2532" t="str">
            <v>Panjang hamparan</v>
          </cell>
          <cell r="G2532" t="str">
            <v>Lh</v>
          </cell>
          <cell r="H2532">
            <v>50</v>
          </cell>
          <cell r="I2532" t="str">
            <v>M</v>
          </cell>
        </row>
        <row r="2533">
          <cell r="C2533" t="str">
            <v>Lebar Efektif kerja Blade</v>
          </cell>
          <cell r="G2533" t="str">
            <v>b</v>
          </cell>
          <cell r="H2533">
            <v>2.4</v>
          </cell>
          <cell r="I2533" t="str">
            <v>M</v>
          </cell>
        </row>
        <row r="2534">
          <cell r="C2534" t="str">
            <v>Faktor Efisiensi Alat</v>
          </cell>
          <cell r="G2534" t="str">
            <v>Fa</v>
          </cell>
          <cell r="H2534">
            <v>0.83</v>
          </cell>
          <cell r="I2534" t="str">
            <v>-</v>
          </cell>
        </row>
        <row r="2535">
          <cell r="C2535" t="str">
            <v>Kecepatan rata-rata alat</v>
          </cell>
          <cell r="G2535" t="str">
            <v>v</v>
          </cell>
          <cell r="H2535">
            <v>5</v>
          </cell>
          <cell r="I2535" t="str">
            <v>Km / Jam</v>
          </cell>
        </row>
        <row r="2536">
          <cell r="C2536" t="str">
            <v>Jumlah lintasan</v>
          </cell>
          <cell r="G2536" t="str">
            <v>n</v>
          </cell>
          <cell r="H2536">
            <v>5</v>
          </cell>
          <cell r="I2536" t="str">
            <v>lintasan</v>
          </cell>
        </row>
        <row r="2537">
          <cell r="C2537" t="str">
            <v>Waktu siklus</v>
          </cell>
          <cell r="G2537" t="str">
            <v>Ts3</v>
          </cell>
        </row>
        <row r="2538">
          <cell r="C2538" t="str">
            <v>- Perataan 1 kali lintasan    = Lh : (v x 1000) x 60</v>
          </cell>
          <cell r="G2538" t="str">
            <v>T1</v>
          </cell>
          <cell r="H2538">
            <v>0.6</v>
          </cell>
          <cell r="I2538" t="str">
            <v>menit</v>
          </cell>
        </row>
        <row r="2539">
          <cell r="C2539" t="str">
            <v>- Lain-lain</v>
          </cell>
          <cell r="G2539" t="str">
            <v>T2</v>
          </cell>
          <cell r="H2539">
            <v>0.5</v>
          </cell>
          <cell r="I2539" t="str">
            <v>menit</v>
          </cell>
        </row>
        <row r="2540">
          <cell r="G2540" t="str">
            <v>Ts3</v>
          </cell>
          <cell r="H2540">
            <v>1.1000000000000001</v>
          </cell>
          <cell r="I2540" t="str">
            <v>menit</v>
          </cell>
        </row>
        <row r="2542">
          <cell r="C2542" t="str">
            <v>Kapasitas Produksi / Jam   =</v>
          </cell>
          <cell r="E2542" t="str">
            <v>Lh x b x t x Fa x 60</v>
          </cell>
          <cell r="G2542" t="str">
            <v>Q3</v>
          </cell>
          <cell r="H2542">
            <v>488.94545454545454</v>
          </cell>
          <cell r="I2542" t="str">
            <v>M3</v>
          </cell>
        </row>
        <row r="2543">
          <cell r="E2543" t="str">
            <v xml:space="preserve">      n x Ts3</v>
          </cell>
        </row>
        <row r="2545">
          <cell r="C2545" t="str">
            <v>Koefisien Alat / M3</v>
          </cell>
          <cell r="D2545" t="str">
            <v xml:space="preserve"> =  1  :  Q3</v>
          </cell>
          <cell r="G2545" t="str">
            <v>(E13)</v>
          </cell>
          <cell r="H2545">
            <v>2.045217908671724E-3</v>
          </cell>
          <cell r="I2545" t="str">
            <v>Jam</v>
          </cell>
        </row>
        <row r="2547">
          <cell r="A2547" t="str">
            <v>2.d.</v>
          </cell>
          <cell r="C2547" t="str">
            <v>VIBRATORY ROLLER</v>
          </cell>
          <cell r="G2547" t="str">
            <v>(E19)</v>
          </cell>
        </row>
        <row r="2548">
          <cell r="C2548" t="str">
            <v>Kecepatan rata-rata alat</v>
          </cell>
          <cell r="G2548" t="str">
            <v>v</v>
          </cell>
          <cell r="H2548">
            <v>4</v>
          </cell>
          <cell r="I2548" t="str">
            <v>Km / Jam</v>
          </cell>
        </row>
        <row r="2549">
          <cell r="C2549" t="str">
            <v>Lebar efektif pemadatan</v>
          </cell>
          <cell r="G2549" t="str">
            <v>b</v>
          </cell>
          <cell r="H2549">
            <v>1.2</v>
          </cell>
          <cell r="I2549" t="str">
            <v>M</v>
          </cell>
        </row>
        <row r="2550">
          <cell r="C2550" t="str">
            <v>Jumlah lintasan</v>
          </cell>
          <cell r="G2550" t="str">
            <v>n</v>
          </cell>
          <cell r="H2550">
            <v>6</v>
          </cell>
          <cell r="I2550" t="str">
            <v>lintasan</v>
          </cell>
        </row>
        <row r="2551">
          <cell r="C2551" t="str">
            <v>Faktor efisiensi alat</v>
          </cell>
          <cell r="G2551" t="str">
            <v>Fa</v>
          </cell>
          <cell r="H2551">
            <v>0.83</v>
          </cell>
          <cell r="I2551" t="str">
            <v>-</v>
          </cell>
        </row>
        <row r="2553">
          <cell r="C2553" t="str">
            <v>Kapasitas Prod./Jam   =</v>
          </cell>
          <cell r="D2553" t="str">
            <v>(v x 1000) x b x t x Fa</v>
          </cell>
          <cell r="G2553" t="str">
            <v>Q4</v>
          </cell>
          <cell r="H2553">
            <v>298.8</v>
          </cell>
          <cell r="I2553" t="str">
            <v>M3</v>
          </cell>
        </row>
        <row r="2554">
          <cell r="D2554" t="str">
            <v>n</v>
          </cell>
        </row>
        <row r="2556">
          <cell r="C2556" t="str">
            <v>Koefisien Alat / M3</v>
          </cell>
          <cell r="D2556" t="str">
            <v xml:space="preserve"> =  1  :  Q4</v>
          </cell>
          <cell r="G2556" t="str">
            <v>(E19)</v>
          </cell>
          <cell r="H2556">
            <v>3.3467202141900937E-3</v>
          </cell>
          <cell r="I2556" t="str">
            <v>Jam</v>
          </cell>
        </row>
        <row r="2570">
          <cell r="A2570" t="str">
            <v>2.f.</v>
          </cell>
          <cell r="C2570" t="str">
            <v>ALAT  BANTU</v>
          </cell>
        </row>
        <row r="2571">
          <cell r="C2571" t="str">
            <v>Diperlukan alat-alat bantu kecil</v>
          </cell>
          <cell r="J2571" t="str">
            <v>Lump Sump</v>
          </cell>
        </row>
        <row r="2572">
          <cell r="C2572" t="str">
            <v xml:space="preserve">- Sekop    </v>
          </cell>
          <cell r="D2572" t="str">
            <v>= 2 buah</v>
          </cell>
        </row>
        <row r="2573">
          <cell r="C2573" t="str">
            <v>- Palu besar</v>
          </cell>
          <cell r="D2573" t="str">
            <v>= 1 buah</v>
          </cell>
        </row>
        <row r="2574">
          <cell r="C2574" t="str">
            <v>- Kereta dorong</v>
          </cell>
          <cell r="D2574" t="str">
            <v>= 6 buah</v>
          </cell>
        </row>
        <row r="2576">
          <cell r="J2576" t="str">
            <v>Berlanjut ke halaman berikut</v>
          </cell>
        </row>
        <row r="2577">
          <cell r="A2577" t="str">
            <v>ITEM PEMBAYARAN NO.</v>
          </cell>
          <cell r="D2577" t="str">
            <v>:  3.2 (4)</v>
          </cell>
          <cell r="J2577">
            <v>0</v>
          </cell>
        </row>
        <row r="2578">
          <cell r="A2578" t="str">
            <v>JENIS PEKERJAAN</v>
          </cell>
          <cell r="D2578" t="str">
            <v xml:space="preserve">:  Timbunan Batu dengan Manual </v>
          </cell>
        </row>
        <row r="2579">
          <cell r="A2579" t="str">
            <v>SATUAN PEMBAYARAN</v>
          </cell>
          <cell r="D2579" t="str">
            <v>:  M3</v>
          </cell>
          <cell r="E2579" t="str">
            <v xml:space="preserve"> </v>
          </cell>
          <cell r="H2579" t="str">
            <v xml:space="preserve">         URAIAN ANALISA HARGA SATUAN</v>
          </cell>
        </row>
        <row r="2580">
          <cell r="J2580" t="str">
            <v>Lanjutan</v>
          </cell>
        </row>
        <row r="2582">
          <cell r="A2582" t="str">
            <v>No.</v>
          </cell>
          <cell r="C2582" t="str">
            <v>U R A I A N</v>
          </cell>
          <cell r="G2582" t="str">
            <v>KODE</v>
          </cell>
          <cell r="H2582" t="str">
            <v>KOEF.</v>
          </cell>
          <cell r="I2582" t="str">
            <v>SATUAN</v>
          </cell>
          <cell r="J2582" t="str">
            <v>KETERANGAN</v>
          </cell>
        </row>
        <row r="2585">
          <cell r="A2585" t="str">
            <v xml:space="preserve">   3.</v>
          </cell>
          <cell r="C2585" t="str">
            <v>TENAGA</v>
          </cell>
        </row>
        <row r="2586">
          <cell r="C2586" t="str">
            <v>Produksi menentukan : DUMP TRUCK</v>
          </cell>
          <cell r="G2586" t="str">
            <v>Q1</v>
          </cell>
          <cell r="H2586">
            <v>54.217741935483872</v>
          </cell>
          <cell r="I2586" t="str">
            <v>M3/Jam</v>
          </cell>
        </row>
        <row r="2587">
          <cell r="C2587" t="str">
            <v>Produksi Timbunan / hari  =  Tk x Q1</v>
          </cell>
          <cell r="G2587" t="str">
            <v>Qt</v>
          </cell>
          <cell r="H2587">
            <v>379.52419354838707</v>
          </cell>
          <cell r="I2587" t="str">
            <v>M3</v>
          </cell>
        </row>
        <row r="2588">
          <cell r="C2588" t="str">
            <v>Kebutuhan tenaga :</v>
          </cell>
        </row>
        <row r="2589">
          <cell r="D2589" t="str">
            <v>- Pekerja</v>
          </cell>
          <cell r="G2589" t="str">
            <v>P</v>
          </cell>
          <cell r="H2589">
            <v>8</v>
          </cell>
          <cell r="I2589" t="str">
            <v>orang</v>
          </cell>
        </row>
        <row r="2590">
          <cell r="D2590" t="str">
            <v>- Mandor</v>
          </cell>
          <cell r="G2590" t="str">
            <v>M</v>
          </cell>
          <cell r="H2590">
            <v>1</v>
          </cell>
          <cell r="I2590" t="str">
            <v>orang</v>
          </cell>
        </row>
        <row r="2593">
          <cell r="C2593" t="str">
            <v>Koefisien tenaga / M3   :</v>
          </cell>
        </row>
        <row r="2594">
          <cell r="D2594" t="str">
            <v>- Pekerja</v>
          </cell>
          <cell r="E2594" t="str">
            <v>= (Tk x P) : Qt</v>
          </cell>
          <cell r="G2594" t="str">
            <v>(L01)</v>
          </cell>
          <cell r="H2594">
            <v>0.14755317566562548</v>
          </cell>
          <cell r="I2594" t="str">
            <v>Jam</v>
          </cell>
        </row>
        <row r="2595">
          <cell r="D2595" t="str">
            <v>- Mandor</v>
          </cell>
          <cell r="E2595" t="str">
            <v>= (Tk x M) : Qt</v>
          </cell>
          <cell r="G2595" t="str">
            <v>(L02)</v>
          </cell>
          <cell r="H2595">
            <v>1.8444146958203185E-2</v>
          </cell>
          <cell r="I2595" t="str">
            <v>Jam</v>
          </cell>
        </row>
        <row r="2598">
          <cell r="A2598" t="str">
            <v>4.</v>
          </cell>
          <cell r="C2598" t="str">
            <v>HARGA DASAR SATUAN UPAH, BAHAN DAN ALAT</v>
          </cell>
        </row>
        <row r="2599">
          <cell r="C2599" t="str">
            <v>Lihat lampiran.</v>
          </cell>
        </row>
        <row r="2602">
          <cell r="A2602" t="str">
            <v>5.</v>
          </cell>
          <cell r="C2602" t="str">
            <v>ANALISA HARGA SATUAN PEKERJAAN</v>
          </cell>
        </row>
        <row r="2603">
          <cell r="C2603" t="str">
            <v>Lihat perhitungan dalam FORMULIR STANDAR UNTUK</v>
          </cell>
        </row>
        <row r="2604">
          <cell r="C2604" t="str">
            <v>PEREKEMAN ANALISA MASING-MASING HARGA</v>
          </cell>
        </row>
        <row r="2605">
          <cell r="C2605" t="str">
            <v>SATUAN.</v>
          </cell>
        </row>
        <row r="2606">
          <cell r="C2606" t="str">
            <v>Didapat Harga Satuan Pekerjaan :</v>
          </cell>
        </row>
        <row r="2608">
          <cell r="C2608" t="str">
            <v xml:space="preserve">Rp.  </v>
          </cell>
          <cell r="D2608">
            <v>162398.24383290968</v>
          </cell>
          <cell r="E2608" t="str">
            <v xml:space="preserve"> / M3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>
        <row r="1">
          <cell r="A1" t="str">
            <v>ITEM PEMBAYARAN NO.</v>
          </cell>
          <cell r="D1" t="str">
            <v>:  4.2 (1)</v>
          </cell>
          <cell r="J1" t="str">
            <v>Analisa EI-421</v>
          </cell>
          <cell r="T1" t="str">
            <v>Analisa EI-421</v>
          </cell>
        </row>
        <row r="2">
          <cell r="A2" t="str">
            <v>JENIS PEKERJAAN</v>
          </cell>
          <cell r="D2" t="str">
            <v>:  Lps. Pond. Ag. Kls. A, CBR Min 80%</v>
          </cell>
        </row>
        <row r="3">
          <cell r="A3" t="str">
            <v>SATUAN PEMBAYARAN</v>
          </cell>
          <cell r="D3" t="str">
            <v>:  M3</v>
          </cell>
          <cell r="J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 t="str">
            <v xml:space="preserve">                                                                                                            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existing jalan : sedang</v>
          </cell>
          <cell r="L12" t="str">
            <v>ITEM PEMBAYARAN NO.</v>
          </cell>
          <cell r="O12" t="str">
            <v>:  4.2 (1)</v>
          </cell>
          <cell r="R12" t="str">
            <v>PERKIRAAN VOL. PEK.</v>
          </cell>
          <cell r="T12" t="str">
            <v>:</v>
          </cell>
          <cell r="U12">
            <v>0</v>
          </cell>
        </row>
        <row r="13">
          <cell r="A13">
            <v>4</v>
          </cell>
          <cell r="C13" t="str">
            <v>Jarak rata-rata Base Camp ke lokasi pekerjaan</v>
          </cell>
          <cell r="G13" t="str">
            <v>L</v>
          </cell>
          <cell r="H13">
            <v>8.7249999999999996</v>
          </cell>
          <cell r="I13" t="str">
            <v>KM</v>
          </cell>
          <cell r="L13" t="str">
            <v>JENIS PEKERJAAN</v>
          </cell>
          <cell r="O13" t="str">
            <v>:  Lps. Pond. Ag. Kls. A, CBR Min 80%</v>
          </cell>
          <cell r="R13" t="str">
            <v>TOTAL HARGA (Rp.)</v>
          </cell>
          <cell r="T13" t="str">
            <v>:</v>
          </cell>
          <cell r="U13">
            <v>0</v>
          </cell>
        </row>
        <row r="14">
          <cell r="A14">
            <v>5</v>
          </cell>
          <cell r="C14" t="str">
            <v>Tebal lapis Agregat padat</v>
          </cell>
          <cell r="G14" t="str">
            <v>t</v>
          </cell>
          <cell r="H14">
            <v>0.15</v>
          </cell>
          <cell r="I14" t="str">
            <v>M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 t="e">
            <v>#DIV/0!</v>
          </cell>
        </row>
        <row r="15">
          <cell r="A15">
            <v>6</v>
          </cell>
          <cell r="C15" t="str">
            <v>Faktor kembang material (Padat-Lepas)</v>
          </cell>
          <cell r="G15" t="str">
            <v>Fk</v>
          </cell>
          <cell r="H15">
            <v>1.2</v>
          </cell>
          <cell r="I15" t="str">
            <v>-</v>
          </cell>
        </row>
        <row r="16">
          <cell r="A16">
            <v>7</v>
          </cell>
          <cell r="C16" t="str">
            <v>Jam kerja efektif per-hari</v>
          </cell>
          <cell r="G16" t="str">
            <v>Tk</v>
          </cell>
          <cell r="H16">
            <v>7</v>
          </cell>
          <cell r="I16" t="str">
            <v>Jam</v>
          </cell>
        </row>
        <row r="17">
          <cell r="A17">
            <v>8</v>
          </cell>
          <cell r="C17" t="str">
            <v>Lebar bahu jalan</v>
          </cell>
          <cell r="G17" t="str">
            <v>Lb</v>
          </cell>
          <cell r="H17">
            <v>1</v>
          </cell>
          <cell r="I17" t="str">
            <v>M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9</v>
          </cell>
          <cell r="C18" t="str">
            <v>Proporsi Campuran :</v>
          </cell>
          <cell r="D18" t="str">
            <v>- Agregat Kasar</v>
          </cell>
          <cell r="G18" t="str">
            <v>Ak</v>
          </cell>
          <cell r="H18">
            <v>55</v>
          </cell>
          <cell r="I18" t="str">
            <v>%</v>
          </cell>
          <cell r="J18" t="str">
            <v xml:space="preserve"> Gradasi harus -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D19" t="str">
            <v>- Agregat Halus</v>
          </cell>
          <cell r="G19" t="str">
            <v>Ah</v>
          </cell>
          <cell r="H19">
            <v>45</v>
          </cell>
          <cell r="I19" t="str">
            <v>%</v>
          </cell>
          <cell r="J19" t="str">
            <v xml:space="preserve"> memenuhi Spec.</v>
          </cell>
          <cell r="R19" t="str">
            <v>(Rp.)</v>
          </cell>
          <cell r="S19" t="str">
            <v>(Rp.)</v>
          </cell>
        </row>
        <row r="20">
          <cell r="A20" t="str">
            <v>II.</v>
          </cell>
          <cell r="C20" t="str">
            <v>URUTAN KERJA</v>
          </cell>
        </row>
        <row r="21">
          <cell r="A21">
            <v>1</v>
          </cell>
          <cell r="C21" t="str">
            <v xml:space="preserve">Wheel Loader mencampur &amp; memuat Agregat ke </v>
          </cell>
        </row>
        <row r="22">
          <cell r="C22" t="str">
            <v>dalam Dump Truck di Base Camp</v>
          </cell>
          <cell r="L22" t="str">
            <v>A.</v>
          </cell>
          <cell r="N22" t="str">
            <v>TENAGA</v>
          </cell>
        </row>
        <row r="23">
          <cell r="A23">
            <v>2</v>
          </cell>
          <cell r="C23" t="str">
            <v>Dump Truck mengangkut Agregat ke lokasi</v>
          </cell>
        </row>
        <row r="24">
          <cell r="C24" t="str">
            <v>pekerjaan dan dihampar dengan Motor Grader</v>
          </cell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0.24988844265952695</v>
          </cell>
          <cell r="R24">
            <v>2857.14</v>
          </cell>
          <cell r="U24">
            <v>713.96626506024074</v>
          </cell>
        </row>
        <row r="25">
          <cell r="A25">
            <v>3</v>
          </cell>
          <cell r="C25" t="str">
            <v>Hamparan Agregat dibasahi dengan Water Tank Truck</v>
          </cell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3.5698348951360995E-2</v>
          </cell>
          <cell r="R25">
            <v>3214.29</v>
          </cell>
          <cell r="U25">
            <v>114.74484605087014</v>
          </cell>
        </row>
        <row r="26">
          <cell r="C26" t="str">
            <v>sebelum dipadatkan dengan Tandem Roller &amp; PTR</v>
          </cell>
        </row>
        <row r="27">
          <cell r="A27">
            <v>4</v>
          </cell>
          <cell r="C27" t="str">
            <v>Selama pemadatan sekelompok pekerja akan</v>
          </cell>
        </row>
        <row r="28">
          <cell r="C28" t="str">
            <v>merapikan tepi hamparan dan level permukaan</v>
          </cell>
          <cell r="Q28" t="str">
            <v xml:space="preserve">JUMLAH HARGA TENAGA   </v>
          </cell>
          <cell r="U28">
            <v>828.71111111111088</v>
          </cell>
        </row>
        <row r="29">
          <cell r="C29" t="str">
            <v>dengan menggunakan alat bantu</v>
          </cell>
        </row>
        <row r="30">
          <cell r="L30" t="str">
            <v>B.</v>
          </cell>
          <cell r="N30" t="str">
            <v>BAHAN</v>
          </cell>
        </row>
        <row r="31">
          <cell r="A31" t="str">
            <v>III.</v>
          </cell>
          <cell r="C31" t="str">
            <v>PEMAKAIAN BAHAN, ALAT DAN TENAGA</v>
          </cell>
        </row>
        <row r="32">
          <cell r="L32" t="str">
            <v>1.</v>
          </cell>
          <cell r="N32" t="str">
            <v>Agregat Kasar     (M03)</v>
          </cell>
          <cell r="P32" t="str">
            <v>M3</v>
          </cell>
          <cell r="Q32">
            <v>0.66</v>
          </cell>
          <cell r="R32">
            <v>222345.54558042376</v>
          </cell>
          <cell r="U32">
            <v>146748.06008307968</v>
          </cell>
        </row>
        <row r="33">
          <cell r="A33" t="str">
            <v xml:space="preserve">   1.</v>
          </cell>
          <cell r="C33" t="str">
            <v>BAHAN</v>
          </cell>
          <cell r="L33" t="str">
            <v>2.</v>
          </cell>
          <cell r="N33" t="str">
            <v>Agregat Halus     (M04)</v>
          </cell>
          <cell r="P33" t="str">
            <v>M3</v>
          </cell>
          <cell r="Q33">
            <v>0.54</v>
          </cell>
          <cell r="R33">
            <v>194196.70775416915</v>
          </cell>
          <cell r="U33">
            <v>104866.22218725135</v>
          </cell>
        </row>
        <row r="34">
          <cell r="C34" t="str">
            <v>- Agregat Kasar</v>
          </cell>
          <cell r="D34" t="str">
            <v>=  Ak x 1 M3 x Fk</v>
          </cell>
          <cell r="G34" t="str">
            <v>M03</v>
          </cell>
          <cell r="H34">
            <v>0.66</v>
          </cell>
          <cell r="I34" t="str">
            <v>M3</v>
          </cell>
        </row>
        <row r="35">
          <cell r="C35" t="str">
            <v>- Agregat Halus</v>
          </cell>
          <cell r="D35" t="str">
            <v>=  Ah x 1 M3 x Fk</v>
          </cell>
          <cell r="G35" t="str">
            <v>M04</v>
          </cell>
          <cell r="H35">
            <v>0.54</v>
          </cell>
          <cell r="I35" t="str">
            <v>M3</v>
          </cell>
        </row>
        <row r="37">
          <cell r="A37" t="str">
            <v xml:space="preserve">   2.</v>
          </cell>
          <cell r="C37" t="str">
            <v>ALAT</v>
          </cell>
        </row>
        <row r="38">
          <cell r="A38" t="str">
            <v>2.a.</v>
          </cell>
          <cell r="C38" t="str">
            <v>WHEEL LOADER</v>
          </cell>
          <cell r="G38" t="str">
            <v>(E15)</v>
          </cell>
          <cell r="Q38" t="str">
            <v xml:space="preserve">JUMLAH HARGA BAHAN   </v>
          </cell>
          <cell r="U38">
            <v>251614.28227033102</v>
          </cell>
        </row>
        <row r="39">
          <cell r="C39" t="str">
            <v>Kapasitas bucket</v>
          </cell>
          <cell r="G39" t="str">
            <v>V</v>
          </cell>
          <cell r="H39">
            <v>1.5</v>
          </cell>
          <cell r="I39" t="str">
            <v>M3</v>
          </cell>
        </row>
        <row r="40">
          <cell r="C40" t="str">
            <v>Faktor bucket</v>
          </cell>
          <cell r="G40" t="str">
            <v>Fb</v>
          </cell>
          <cell r="H40">
            <v>0.9</v>
          </cell>
          <cell r="I40" t="str">
            <v>-</v>
          </cell>
          <cell r="J40" t="str">
            <v>Pemuatan ringan</v>
          </cell>
          <cell r="L40" t="str">
            <v>C.</v>
          </cell>
          <cell r="N40" t="str">
            <v>PERALATAN</v>
          </cell>
        </row>
        <row r="41">
          <cell r="C41" t="str">
            <v>Faktor Efisiensi alat</v>
          </cell>
          <cell r="G41" t="str">
            <v>Fa</v>
          </cell>
          <cell r="H41">
            <v>0.83</v>
          </cell>
          <cell r="I41" t="str">
            <v>-</v>
          </cell>
        </row>
        <row r="42">
          <cell r="C42" t="str">
            <v>Waktu siklus</v>
          </cell>
          <cell r="G42" t="str">
            <v>Ts1</v>
          </cell>
          <cell r="L42" t="str">
            <v>1</v>
          </cell>
          <cell r="N42" t="str">
            <v>Wheel Loader</v>
          </cell>
          <cell r="O42" t="str">
            <v>E15</v>
          </cell>
          <cell r="P42" t="str">
            <v>Jam</v>
          </cell>
          <cell r="Q42">
            <v>3.5698348951360995E-2</v>
          </cell>
          <cell r="R42">
            <v>163808.13869490434</v>
          </cell>
          <cell r="U42">
            <v>5847.680096203635</v>
          </cell>
        </row>
        <row r="43">
          <cell r="C43" t="str">
            <v>- Mencampur</v>
          </cell>
          <cell r="G43" t="str">
            <v>T1</v>
          </cell>
          <cell r="H43">
            <v>1.5</v>
          </cell>
          <cell r="I43" t="str">
            <v>menit</v>
          </cell>
          <cell r="L43" t="str">
            <v>2</v>
          </cell>
          <cell r="N43" t="str">
            <v>Dump Truck</v>
          </cell>
          <cell r="O43" t="str">
            <v>E09</v>
          </cell>
          <cell r="P43" t="str">
            <v>Jam</v>
          </cell>
          <cell r="Q43">
            <v>0.14542063837680036</v>
          </cell>
          <cell r="R43">
            <v>70230.073977639215</v>
          </cell>
          <cell r="U43">
            <v>10212.90219107821</v>
          </cell>
        </row>
        <row r="44">
          <cell r="C44" t="str">
            <v>- Memuat dan lain-lain</v>
          </cell>
          <cell r="G44" t="str">
            <v>T2</v>
          </cell>
          <cell r="H44">
            <v>0.5</v>
          </cell>
          <cell r="I44" t="str">
            <v>menit</v>
          </cell>
          <cell r="L44" t="str">
            <v>3</v>
          </cell>
          <cell r="N44" t="str">
            <v>Motor Grader</v>
          </cell>
          <cell r="O44" t="str">
            <v>E13</v>
          </cell>
          <cell r="P44" t="str">
            <v>Jam</v>
          </cell>
          <cell r="Q44">
            <v>1.1713520749665328E-2</v>
          </cell>
          <cell r="R44">
            <v>201666.62574070093</v>
          </cell>
          <cell r="U44">
            <v>2362.2262051286921</v>
          </cell>
        </row>
        <row r="45">
          <cell r="G45" t="str">
            <v>Ts1</v>
          </cell>
          <cell r="H45">
            <v>2</v>
          </cell>
          <cell r="I45" t="str">
            <v>menit</v>
          </cell>
          <cell r="L45" t="str">
            <v>4</v>
          </cell>
          <cell r="N45" t="str">
            <v>Tandem Roller</v>
          </cell>
          <cell r="O45" t="str">
            <v>E17</v>
          </cell>
          <cell r="P45" t="str">
            <v>Jam</v>
          </cell>
          <cell r="Q45">
            <v>1.7849174475680501E-2</v>
          </cell>
          <cell r="R45">
            <v>293927.19306224468</v>
          </cell>
          <cell r="U45">
            <v>5246.3577521150328</v>
          </cell>
        </row>
        <row r="46">
          <cell r="L46" t="str">
            <v>5</v>
          </cell>
          <cell r="N46" t="str">
            <v>Water Tanker</v>
          </cell>
          <cell r="O46" t="str">
            <v>E23</v>
          </cell>
          <cell r="P46" t="str">
            <v>Jam</v>
          </cell>
          <cell r="Q46">
            <v>2.1084337349397592E-2</v>
          </cell>
          <cell r="R46">
            <v>67020.510980434308</v>
          </cell>
          <cell r="U46">
            <v>1413.0830628404826</v>
          </cell>
        </row>
        <row r="47">
          <cell r="C47" t="str">
            <v>Kap. Prod. / jam =</v>
          </cell>
          <cell r="D47" t="str">
            <v>V x Fb x Fa x 60</v>
          </cell>
          <cell r="G47" t="str">
            <v>Q1</v>
          </cell>
          <cell r="H47">
            <v>28.012500000000003</v>
          </cell>
          <cell r="I47" t="str">
            <v>M3</v>
          </cell>
          <cell r="L47" t="str">
            <v>6</v>
          </cell>
          <cell r="N47" t="str">
            <v>Alat Bantu</v>
          </cell>
          <cell r="P47" t="str">
            <v>Ls</v>
          </cell>
          <cell r="Q47">
            <v>1</v>
          </cell>
          <cell r="R47">
            <v>75</v>
          </cell>
          <cell r="U47">
            <v>75</v>
          </cell>
        </row>
        <row r="48">
          <cell r="D48" t="str">
            <v>Fk x Ts1</v>
          </cell>
        </row>
        <row r="49">
          <cell r="C49" t="str">
            <v>Koefisien Alat / M3</v>
          </cell>
          <cell r="D49" t="str">
            <v xml:space="preserve"> =  1  :  Q1</v>
          </cell>
          <cell r="G49" t="str">
            <v>(E15)</v>
          </cell>
          <cell r="H49">
            <v>3.5698348951360995E-2</v>
          </cell>
          <cell r="I49" t="str">
            <v>Jam</v>
          </cell>
        </row>
        <row r="50">
          <cell r="Q50" t="str">
            <v xml:space="preserve">JUMLAH HARGA PERALATAN   </v>
          </cell>
          <cell r="U50">
            <v>25157.249307366055</v>
          </cell>
        </row>
        <row r="51">
          <cell r="A51" t="str">
            <v>2.b.</v>
          </cell>
          <cell r="C51" t="str">
            <v>DUMP TRUCK</v>
          </cell>
          <cell r="G51" t="str">
            <v>(E09)</v>
          </cell>
        </row>
        <row r="52">
          <cell r="C52" t="str">
            <v>Kapasitas bak</v>
          </cell>
          <cell r="G52" t="str">
            <v>V</v>
          </cell>
          <cell r="H52">
            <v>6</v>
          </cell>
          <cell r="I52" t="str">
            <v>M3</v>
          </cell>
          <cell r="L52" t="str">
            <v>D.</v>
          </cell>
          <cell r="N52" t="str">
            <v>JUMLAH HARGA TENAGA, BAHAN DAN PERALATAN  ( A + B + C )</v>
          </cell>
          <cell r="U52">
            <v>277600.24268880818</v>
          </cell>
        </row>
        <row r="53">
          <cell r="C53" t="str">
            <v>Faktor Efisiensi alat</v>
          </cell>
          <cell r="G53" t="str">
            <v>Fa</v>
          </cell>
          <cell r="H53">
            <v>0.83</v>
          </cell>
          <cell r="I53" t="str">
            <v>-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27760.024268880821</v>
          </cell>
        </row>
        <row r="54">
          <cell r="C54" t="str">
            <v>Kecepatan rata-rata bermuatan</v>
          </cell>
          <cell r="G54" t="str">
            <v>v1</v>
          </cell>
          <cell r="H54">
            <v>45</v>
          </cell>
          <cell r="I54" t="str">
            <v>KM / Jam</v>
          </cell>
          <cell r="L54" t="str">
            <v>F.</v>
          </cell>
          <cell r="N54" t="str">
            <v>HARGA SATUAN PEKERJAAN  ( D + E )</v>
          </cell>
          <cell r="U54">
            <v>305360.26695768902</v>
          </cell>
        </row>
        <row r="55">
          <cell r="C55" t="str">
            <v>Kecepatan rata-rata kosong</v>
          </cell>
          <cell r="G55" t="str">
            <v>v2</v>
          </cell>
          <cell r="H55">
            <v>60</v>
          </cell>
          <cell r="I55" t="str">
            <v>KM / Jam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Waktu Siklus  :  - Waktu memuat = V : Q1 x 60</v>
          </cell>
          <cell r="G56" t="str">
            <v>T1</v>
          </cell>
          <cell r="H56">
            <v>12.851405622489958</v>
          </cell>
          <cell r="I56" t="str">
            <v>menit</v>
          </cell>
          <cell r="N56" t="str">
            <v>berat untuk bahan-bahan.</v>
          </cell>
        </row>
        <row r="57">
          <cell r="C57" t="str">
            <v>- Waktu tempuh isi = (L : v1) x 60 menit</v>
          </cell>
          <cell r="G57" t="str">
            <v>T2</v>
          </cell>
          <cell r="H57">
            <v>11.633333333333333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Waktu tempuh kosong = (L : v2) x 60 menit</v>
          </cell>
          <cell r="G58" t="str">
            <v>T3</v>
          </cell>
          <cell r="H58">
            <v>8.7249999999999996</v>
          </cell>
          <cell r="I58" t="str">
            <v>menit</v>
          </cell>
          <cell r="N58" t="str">
            <v>mata pembayaran.</v>
          </cell>
        </row>
        <row r="59">
          <cell r="C59" t="str">
            <v>- Lain-lain termasuk menurunkan Agregat</v>
          </cell>
          <cell r="G59" t="str">
            <v>T4</v>
          </cell>
          <cell r="H59">
            <v>3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G60" t="str">
            <v>Ts2</v>
          </cell>
          <cell r="H60">
            <v>36.20973895582329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J61" t="str">
            <v>Berlanjut ke halaman berikut</v>
          </cell>
          <cell r="N61" t="str">
            <v>yang dibayar dari kontrak) dan biaya-biaya lainnya.</v>
          </cell>
        </row>
        <row r="62">
          <cell r="A62" t="str">
            <v>ITEM PEMBAYARAN NO.</v>
          </cell>
          <cell r="D62" t="str">
            <v>:  4.2 (1)</v>
          </cell>
          <cell r="J62" t="str">
            <v>Analisa EI-421</v>
          </cell>
        </row>
        <row r="63">
          <cell r="A63" t="str">
            <v>JENIS PEKERJAAN</v>
          </cell>
          <cell r="D63" t="str">
            <v>:  Lps. Pond. Ag. Kls. A, CBR Min 80%</v>
          </cell>
        </row>
        <row r="64">
          <cell r="A64" t="str">
            <v>SATUAN PEMBAYARAN</v>
          </cell>
          <cell r="D64" t="str">
            <v>:  M3</v>
          </cell>
          <cell r="J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 xml:space="preserve">Kap. Prod./jam = </v>
          </cell>
          <cell r="D70" t="str">
            <v>V x Fa x 60</v>
          </cell>
          <cell r="G70" t="str">
            <v>Q2</v>
          </cell>
          <cell r="H70">
            <v>6.8766030129017413</v>
          </cell>
          <cell r="I70" t="str">
            <v>M3</v>
          </cell>
        </row>
        <row r="71">
          <cell r="D71" t="str">
            <v>Fk x Ts2</v>
          </cell>
        </row>
        <row r="72">
          <cell r="C72" t="str">
            <v>Koefisien Alat / M3 = 1 : Q2</v>
          </cell>
          <cell r="D72" t="str">
            <v xml:space="preserve"> =  1 : Q2</v>
          </cell>
          <cell r="G72" t="str">
            <v>(E08)</v>
          </cell>
          <cell r="H72">
            <v>0.14542063837680036</v>
          </cell>
          <cell r="I72" t="str">
            <v>Jam</v>
          </cell>
        </row>
        <row r="74">
          <cell r="A74" t="str">
            <v>2.c.</v>
          </cell>
          <cell r="C74" t="str">
            <v>MOTOR GRADER</v>
          </cell>
          <cell r="G74" t="str">
            <v>(E13)</v>
          </cell>
        </row>
        <row r="75">
          <cell r="C75" t="str">
            <v>Panjang hamparan</v>
          </cell>
          <cell r="G75" t="str">
            <v>Lh</v>
          </cell>
          <cell r="H75">
            <v>50</v>
          </cell>
          <cell r="I75" t="str">
            <v>M</v>
          </cell>
        </row>
        <row r="76">
          <cell r="C76" t="str">
            <v>Lebar efektif kerja blade</v>
          </cell>
          <cell r="G76" t="str">
            <v>b</v>
          </cell>
          <cell r="H76">
            <v>2.4</v>
          </cell>
          <cell r="I76" t="str">
            <v>M</v>
          </cell>
        </row>
        <row r="77">
          <cell r="C77" t="str">
            <v>Faktor Efisiensi alat</v>
          </cell>
          <cell r="G77" t="str">
            <v>Fa</v>
          </cell>
          <cell r="H77">
            <v>0.83</v>
          </cell>
          <cell r="I77" t="str">
            <v>-</v>
          </cell>
        </row>
        <row r="78">
          <cell r="C78" t="str">
            <v>Kecepatan rata-rata alat</v>
          </cell>
          <cell r="G78" t="str">
            <v>v</v>
          </cell>
          <cell r="H78">
            <v>4</v>
          </cell>
          <cell r="I78" t="str">
            <v>KM / Jam</v>
          </cell>
        </row>
        <row r="79">
          <cell r="C79" t="str">
            <v>Jumlah lintasan</v>
          </cell>
          <cell r="G79" t="str">
            <v>n</v>
          </cell>
          <cell r="H79">
            <v>6</v>
          </cell>
          <cell r="I79" t="str">
            <v>lintasan</v>
          </cell>
          <cell r="J79" t="str">
            <v>3 x pp</v>
          </cell>
        </row>
        <row r="80">
          <cell r="C80" t="str">
            <v>Waktu Siklus</v>
          </cell>
          <cell r="G80" t="str">
            <v>Ts3</v>
          </cell>
        </row>
        <row r="81">
          <cell r="C81" t="str">
            <v>- Perataan 1 lintasan  = (Lh x 60) : (v x 1000)</v>
          </cell>
          <cell r="G81" t="str">
            <v>T1</v>
          </cell>
          <cell r="H81">
            <v>0.75</v>
          </cell>
          <cell r="I81" t="str">
            <v>menit</v>
          </cell>
        </row>
        <row r="82">
          <cell r="C82" t="str">
            <v>- Lain-lain</v>
          </cell>
          <cell r="G82" t="str">
            <v>T2</v>
          </cell>
          <cell r="H82">
            <v>1</v>
          </cell>
          <cell r="I82" t="str">
            <v>menit</v>
          </cell>
        </row>
        <row r="83">
          <cell r="G83" t="str">
            <v>Ts3</v>
          </cell>
          <cell r="H83">
            <v>1.75</v>
          </cell>
          <cell r="I83" t="str">
            <v>menit</v>
          </cell>
        </row>
        <row r="85">
          <cell r="C85" t="str">
            <v>Kap.Prod. / jam =</v>
          </cell>
          <cell r="D85" t="str">
            <v>Lh x b x t x Fa x 60</v>
          </cell>
          <cell r="G85" t="str">
            <v>Q3</v>
          </cell>
          <cell r="H85">
            <v>85.371428571428567</v>
          </cell>
          <cell r="I85" t="str">
            <v>M3</v>
          </cell>
        </row>
        <row r="86">
          <cell r="D86" t="str">
            <v>n x Ts3</v>
          </cell>
        </row>
        <row r="87">
          <cell r="C87" t="str">
            <v>Koefisien Alat / M3</v>
          </cell>
          <cell r="D87" t="str">
            <v xml:space="preserve"> = 1 : Q3</v>
          </cell>
          <cell r="G87" t="str">
            <v>(E13)</v>
          </cell>
          <cell r="H87">
            <v>1.1713520749665328E-2</v>
          </cell>
          <cell r="I87" t="str">
            <v>Jam</v>
          </cell>
        </row>
        <row r="89">
          <cell r="A89" t="str">
            <v>2.d.</v>
          </cell>
          <cell r="C89" t="str">
            <v>TANDEM ROLLER</v>
          </cell>
          <cell r="G89" t="str">
            <v>(E17)</v>
          </cell>
        </row>
        <row r="90">
          <cell r="C90" t="str">
            <v>Kecepatan rata-rata</v>
          </cell>
          <cell r="G90" t="str">
            <v>v</v>
          </cell>
          <cell r="H90">
            <v>3</v>
          </cell>
          <cell r="I90" t="str">
            <v>KM / Jam</v>
          </cell>
        </row>
        <row r="91">
          <cell r="C91" t="str">
            <v>Lebar efektif pemadatan</v>
          </cell>
          <cell r="G91" t="str">
            <v>b</v>
          </cell>
          <cell r="H91">
            <v>1.2</v>
          </cell>
          <cell r="I91" t="str">
            <v>M</v>
          </cell>
        </row>
        <row r="92">
          <cell r="C92" t="str">
            <v>Jumlah lintasan</v>
          </cell>
          <cell r="G92" t="str">
            <v>n</v>
          </cell>
          <cell r="H92">
            <v>8</v>
          </cell>
          <cell r="I92" t="str">
            <v>lintasan</v>
          </cell>
        </row>
        <row r="93">
          <cell r="C93" t="str">
            <v>Faktor Efisiensi alat</v>
          </cell>
          <cell r="G93" t="str">
            <v>Fa</v>
          </cell>
          <cell r="H93">
            <v>0.83</v>
          </cell>
          <cell r="I93" t="str">
            <v>-</v>
          </cell>
        </row>
        <row r="95">
          <cell r="C95" t="str">
            <v>Kap.Prod. / jam =</v>
          </cell>
          <cell r="D95" t="str">
            <v>(v x 1000) x b x t x Fa</v>
          </cell>
          <cell r="G95" t="str">
            <v>Q4</v>
          </cell>
          <cell r="H95">
            <v>56.024999999999999</v>
          </cell>
          <cell r="I95" t="str">
            <v>M3</v>
          </cell>
        </row>
        <row r="96">
          <cell r="D96" t="str">
            <v>n</v>
          </cell>
        </row>
        <row r="97">
          <cell r="C97" t="str">
            <v>Koefisien Alat / M3</v>
          </cell>
          <cell r="D97" t="str">
            <v xml:space="preserve"> = 1 : Q4</v>
          </cell>
          <cell r="G97" t="str">
            <v>(E17)</v>
          </cell>
          <cell r="H97">
            <v>1.7849174475680501E-2</v>
          </cell>
          <cell r="I97" t="str">
            <v>Jam</v>
          </cell>
        </row>
        <row r="99">
          <cell r="A99" t="str">
            <v>2.e.</v>
          </cell>
          <cell r="C99" t="str">
            <v>WATERTANK TRUCK</v>
          </cell>
          <cell r="G99" t="str">
            <v>(E23)</v>
          </cell>
        </row>
        <row r="100">
          <cell r="C100" t="str">
            <v>Volume tangki air</v>
          </cell>
          <cell r="G100" t="str">
            <v>V</v>
          </cell>
          <cell r="H100">
            <v>4</v>
          </cell>
          <cell r="I100" t="str">
            <v>M3</v>
          </cell>
        </row>
        <row r="101">
          <cell r="C101" t="str">
            <v>Kebutuhan air / M3 agregat padat</v>
          </cell>
          <cell r="G101" t="str">
            <v>Wc</v>
          </cell>
          <cell r="H101">
            <v>7.0000000000000007E-2</v>
          </cell>
          <cell r="I101" t="str">
            <v>M3</v>
          </cell>
        </row>
        <row r="102">
          <cell r="C102" t="str">
            <v>Pengisian tangki / jam</v>
          </cell>
          <cell r="G102" t="str">
            <v>n</v>
          </cell>
          <cell r="H102">
            <v>1</v>
          </cell>
          <cell r="I102" t="str">
            <v>kali</v>
          </cell>
        </row>
        <row r="103">
          <cell r="C103" t="str">
            <v>Faktor Efisiensi alat</v>
          </cell>
          <cell r="G103" t="str">
            <v>Fa</v>
          </cell>
          <cell r="H103">
            <v>0.83</v>
          </cell>
          <cell r="I103" t="str">
            <v>-</v>
          </cell>
        </row>
        <row r="105">
          <cell r="C105" t="str">
            <v>Kap.Prod. / jam =</v>
          </cell>
          <cell r="D105" t="str">
            <v>V x n x Fa</v>
          </cell>
          <cell r="G105" t="str">
            <v>Q5</v>
          </cell>
          <cell r="H105">
            <v>47.428571428571423</v>
          </cell>
          <cell r="I105" t="str">
            <v>M3</v>
          </cell>
        </row>
        <row r="106">
          <cell r="D106" t="str">
            <v>Wc</v>
          </cell>
        </row>
        <row r="107">
          <cell r="C107" t="str">
            <v>Koefisien Alat / M3</v>
          </cell>
          <cell r="D107" t="str">
            <v xml:space="preserve"> = 1 : Q5</v>
          </cell>
          <cell r="G107" t="str">
            <v>(E23)</v>
          </cell>
          <cell r="H107">
            <v>2.1084337349397592E-2</v>
          </cell>
          <cell r="I107" t="str">
            <v>Jam</v>
          </cell>
        </row>
        <row r="110">
          <cell r="A110" t="str">
            <v>2.g.</v>
          </cell>
          <cell r="C110" t="str">
            <v>ALAT BANTU</v>
          </cell>
        </row>
        <row r="111">
          <cell r="C111" t="str">
            <v>diperlukan :</v>
          </cell>
          <cell r="J111" t="str">
            <v>Lump Sum</v>
          </cell>
        </row>
        <row r="112">
          <cell r="C112" t="str">
            <v>- Kereta dorong     = 2 buah</v>
          </cell>
        </row>
        <row r="113">
          <cell r="C113" t="str">
            <v>- Sekop                = 3 buah</v>
          </cell>
        </row>
        <row r="114">
          <cell r="C114" t="str">
            <v>- Garpu                = 2 buah</v>
          </cell>
        </row>
        <row r="120">
          <cell r="J120" t="str">
            <v>Berlanjut ke halaman berikut</v>
          </cell>
        </row>
        <row r="121">
          <cell r="A121" t="str">
            <v>ITEM PEMBAYARAN NO.</v>
          </cell>
          <cell r="D121" t="str">
            <v>:  4.2 (1)</v>
          </cell>
          <cell r="J121" t="str">
            <v>Analisa EI-421</v>
          </cell>
        </row>
        <row r="122">
          <cell r="A122" t="str">
            <v>JENIS PEKERJAAN</v>
          </cell>
          <cell r="D122" t="str">
            <v>:  Lps. Pond. Ag. Kls. A, CBR Min 80%</v>
          </cell>
        </row>
        <row r="123">
          <cell r="A123" t="str">
            <v>SATUAN PEMBAYARAN</v>
          </cell>
          <cell r="D123" t="str">
            <v>:  M3</v>
          </cell>
          <cell r="J123" t="str">
            <v xml:space="preserve">         URAIAN ANALISA HARGA SATUAN</v>
          </cell>
        </row>
        <row r="124">
          <cell r="J124" t="str">
            <v>Lanjutan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9">
          <cell r="A129" t="str">
            <v xml:space="preserve">   3.</v>
          </cell>
          <cell r="C129" t="str">
            <v>TENAGA</v>
          </cell>
        </row>
        <row r="130">
          <cell r="C130" t="str">
            <v>Produksi menentukan : WHEEL LOADER</v>
          </cell>
          <cell r="G130" t="str">
            <v>Q1</v>
          </cell>
          <cell r="H130">
            <v>28.012500000000003</v>
          </cell>
          <cell r="I130" t="str">
            <v>M3/Jam</v>
          </cell>
        </row>
        <row r="131">
          <cell r="C131" t="str">
            <v>Produksi Agregat / hari  =  Tk x Q1</v>
          </cell>
          <cell r="G131" t="str">
            <v>Qt</v>
          </cell>
          <cell r="H131">
            <v>196.08750000000003</v>
          </cell>
          <cell r="I131" t="str">
            <v>M3</v>
          </cell>
        </row>
        <row r="132">
          <cell r="C132" t="str">
            <v>Kebutuhan tenaga :</v>
          </cell>
        </row>
        <row r="133">
          <cell r="D133" t="str">
            <v>- Pekerja</v>
          </cell>
          <cell r="G133" t="str">
            <v>P</v>
          </cell>
          <cell r="H133">
            <v>7</v>
          </cell>
          <cell r="I133" t="str">
            <v>orang</v>
          </cell>
        </row>
        <row r="134">
          <cell r="D134" t="str">
            <v>- Mandor</v>
          </cell>
          <cell r="G134" t="str">
            <v>M</v>
          </cell>
          <cell r="H134">
            <v>1</v>
          </cell>
          <cell r="I134" t="str">
            <v>orang</v>
          </cell>
        </row>
        <row r="136">
          <cell r="C136" t="str">
            <v>Koefisien tenaga / M3     :</v>
          </cell>
        </row>
        <row r="137">
          <cell r="D137" t="str">
            <v>- Pekerja</v>
          </cell>
          <cell r="E137" t="str">
            <v>= (Tk x P) : Qt</v>
          </cell>
          <cell r="G137" t="str">
            <v>(L01)</v>
          </cell>
          <cell r="H137">
            <v>0.24988844265952695</v>
          </cell>
          <cell r="I137" t="str">
            <v>Jam</v>
          </cell>
        </row>
        <row r="138">
          <cell r="D138" t="str">
            <v>- Mandor</v>
          </cell>
          <cell r="E138" t="str">
            <v>= (Tk x M) : Qt</v>
          </cell>
          <cell r="G138" t="str">
            <v>(L03)</v>
          </cell>
          <cell r="H138">
            <v>3.5698348951360995E-2</v>
          </cell>
          <cell r="I138" t="str">
            <v>Jam</v>
          </cell>
        </row>
        <row r="141">
          <cell r="A141" t="str">
            <v>4.</v>
          </cell>
          <cell r="C141" t="str">
            <v>HARGA DASAR SATUAN UPAH, BAHAN DAN ALAT</v>
          </cell>
        </row>
        <row r="142">
          <cell r="C142" t="str">
            <v>Lihat lampiran.</v>
          </cell>
        </row>
        <row r="144">
          <cell r="A144" t="str">
            <v>5.</v>
          </cell>
          <cell r="C144" t="str">
            <v>ANALISA HARGA SATUAN PEKERJAAN</v>
          </cell>
        </row>
        <row r="145">
          <cell r="C145" t="str">
            <v>Lihat perhitungan dalam FORMULIR STANDAR UNTUK</v>
          </cell>
        </row>
        <row r="146">
          <cell r="C146" t="str">
            <v>PEREKEMAN ANALISA MASING-MASING HARGA</v>
          </cell>
        </row>
        <row r="147">
          <cell r="C147" t="str">
            <v>SATUAN.</v>
          </cell>
        </row>
        <row r="148">
          <cell r="C148" t="str">
            <v>Didapat Harga Satuan Pekerjaan :</v>
          </cell>
        </row>
        <row r="150">
          <cell r="C150" t="str">
            <v xml:space="preserve">Rp.  </v>
          </cell>
          <cell r="D150">
            <v>305360.26695768902</v>
          </cell>
          <cell r="E150" t="str">
            <v xml:space="preserve"> / M3.</v>
          </cell>
        </row>
        <row r="153">
          <cell r="A153" t="str">
            <v>6.</v>
          </cell>
          <cell r="C153" t="str">
            <v>WAKTU PELAKSANAAN YANG DIPERLUKAN</v>
          </cell>
        </row>
        <row r="154">
          <cell r="C154" t="str">
            <v>Waktu pelaksanaan</v>
          </cell>
          <cell r="D154" t="str">
            <v>:  . . . . . . .  bulan</v>
          </cell>
        </row>
        <row r="156">
          <cell r="A156" t="str">
            <v>7.</v>
          </cell>
          <cell r="C156" t="str">
            <v>VOLUME PEKERJAAN YANG DIPERLUKAN</v>
          </cell>
        </row>
        <row r="157">
          <cell r="C157" t="str">
            <v>Volume pekerjaan  :</v>
          </cell>
          <cell r="D157">
            <v>0</v>
          </cell>
          <cell r="E157" t="str">
            <v>M3</v>
          </cell>
        </row>
        <row r="180">
          <cell r="A180" t="str">
            <v>ITEM PEMBAYARAN NO.</v>
          </cell>
          <cell r="D180" t="str">
            <v>:  4.2 (2)</v>
          </cell>
          <cell r="J180" t="str">
            <v>Analisa EI-422</v>
          </cell>
          <cell r="T180" t="str">
            <v>Analisa EI-422</v>
          </cell>
        </row>
        <row r="181">
          <cell r="A181" t="str">
            <v>JENIS PEKERJAAN</v>
          </cell>
          <cell r="D181" t="str">
            <v>:  Lps. Pond. Ag. Kls. B, CBR Min 35%</v>
          </cell>
        </row>
        <row r="182">
          <cell r="A182" t="str">
            <v>SATUAN PEMBAYARAN</v>
          </cell>
          <cell r="D182" t="str">
            <v>:  M3</v>
          </cell>
          <cell r="J182" t="str">
            <v xml:space="preserve">         URAIAN ANALISA HARGA SATUAN</v>
          </cell>
          <cell r="L182" t="str">
            <v>FORMULIR STANDAR UNTUK</v>
          </cell>
        </row>
        <row r="183">
          <cell r="L183" t="str">
            <v>PEREKAMAN ANALISA MASING-MASING HARGA SATUAN</v>
          </cell>
        </row>
        <row r="184">
          <cell r="L184" t="str">
            <v xml:space="preserve">                                                                                                            </v>
          </cell>
        </row>
        <row r="185">
          <cell r="A185" t="str">
            <v>No.</v>
          </cell>
          <cell r="C185" t="str">
            <v>U R A I A N</v>
          </cell>
          <cell r="G185" t="str">
            <v>KODE</v>
          </cell>
          <cell r="H185" t="str">
            <v>KOEF.</v>
          </cell>
          <cell r="I185" t="str">
            <v>SATUAN</v>
          </cell>
          <cell r="J185" t="str">
            <v>KETERANGAN</v>
          </cell>
        </row>
        <row r="187">
          <cell r="L187" t="str">
            <v>PROYEK</v>
          </cell>
          <cell r="O187" t="str">
            <v>:</v>
          </cell>
        </row>
        <row r="188">
          <cell r="A188" t="str">
            <v>I.</v>
          </cell>
          <cell r="C188" t="str">
            <v>ASUMSI</v>
          </cell>
          <cell r="L188" t="str">
            <v>No. PAKET KONTRAK</v>
          </cell>
          <cell r="O188" t="str">
            <v>:</v>
          </cell>
        </row>
        <row r="189">
          <cell r="A189">
            <v>1</v>
          </cell>
          <cell r="C189" t="str">
            <v>Menggunakan alat berat (cara mekanik)</v>
          </cell>
          <cell r="L189" t="str">
            <v>NAMA PAKET</v>
          </cell>
          <cell r="O189" t="str">
            <v>:</v>
          </cell>
        </row>
        <row r="190">
          <cell r="A190">
            <v>2</v>
          </cell>
          <cell r="C190" t="str">
            <v>Lokasi pekerjaan : sepanjang jalan</v>
          </cell>
          <cell r="L190" t="str">
            <v>PROP / KAB / KODYA</v>
          </cell>
          <cell r="O190" t="str">
            <v>:</v>
          </cell>
        </row>
        <row r="191">
          <cell r="A191">
            <v>3</v>
          </cell>
          <cell r="C191" t="str">
            <v>Kondisi existing jalan : sedang</v>
          </cell>
          <cell r="L191" t="str">
            <v>ITEM PEMBAYARAN NO.</v>
          </cell>
          <cell r="O191" t="str">
            <v>:  4.2 (2)</v>
          </cell>
          <cell r="R191" t="str">
            <v>PERKIRAAN VOL. PEK.</v>
          </cell>
          <cell r="T191" t="str">
            <v>:</v>
          </cell>
          <cell r="U191">
            <v>0</v>
          </cell>
        </row>
        <row r="192">
          <cell r="A192">
            <v>4</v>
          </cell>
          <cell r="C192" t="str">
            <v>Jarak rata-rata Base Camp ke lokasi pekerjaan</v>
          </cell>
          <cell r="G192" t="str">
            <v>L</v>
          </cell>
          <cell r="H192">
            <v>8.7249999999999996</v>
          </cell>
          <cell r="I192" t="str">
            <v>KM</v>
          </cell>
          <cell r="L192" t="str">
            <v>JENIS PEKERJAAN</v>
          </cell>
          <cell r="O192" t="str">
            <v>:  Lps. Pond. Ag. Kls. B, CBR Min 35%</v>
          </cell>
          <cell r="R192" t="str">
            <v>TOTAL HARGA (Rp.)</v>
          </cell>
          <cell r="T192" t="str">
            <v>:</v>
          </cell>
          <cell r="U192">
            <v>3711291.7469440131</v>
          </cell>
        </row>
        <row r="193">
          <cell r="A193">
            <v>5</v>
          </cell>
          <cell r="C193" t="str">
            <v>Tebal lapis Agregat padat</v>
          </cell>
          <cell r="G193" t="str">
            <v>t</v>
          </cell>
          <cell r="H193">
            <v>0.15</v>
          </cell>
          <cell r="I193" t="str">
            <v>M</v>
          </cell>
          <cell r="L193" t="str">
            <v>SATUAN PEMBAYARAN</v>
          </cell>
          <cell r="O193" t="str">
            <v>:  M3</v>
          </cell>
          <cell r="R193" t="str">
            <v>% THD. BIAYA PROYEK</v>
          </cell>
          <cell r="T193" t="str">
            <v>:</v>
          </cell>
          <cell r="U193" t="e">
            <v>#DIV/0!</v>
          </cell>
        </row>
        <row r="194">
          <cell r="A194">
            <v>6</v>
          </cell>
          <cell r="C194" t="str">
            <v>Faktor kembang material (Padat-Lepas)</v>
          </cell>
          <cell r="G194" t="str">
            <v>Fk</v>
          </cell>
          <cell r="H194">
            <v>1.2</v>
          </cell>
          <cell r="I194" t="str">
            <v>-</v>
          </cell>
        </row>
        <row r="195">
          <cell r="A195">
            <v>7</v>
          </cell>
          <cell r="C195" t="str">
            <v>Jam kerja efektif per-hari</v>
          </cell>
          <cell r="G195" t="str">
            <v>Tk</v>
          </cell>
          <cell r="H195">
            <v>7</v>
          </cell>
          <cell r="I195" t="str">
            <v>Jam</v>
          </cell>
        </row>
        <row r="196">
          <cell r="A196">
            <v>8</v>
          </cell>
          <cell r="C196" t="str">
            <v>Lebar bahu jalan</v>
          </cell>
          <cell r="G196" t="str">
            <v>Lb</v>
          </cell>
          <cell r="H196">
            <v>1</v>
          </cell>
          <cell r="I196" t="str">
            <v>M</v>
          </cell>
          <cell r="Q196" t="str">
            <v>PERKIRAAN</v>
          </cell>
          <cell r="R196" t="str">
            <v>HARGA</v>
          </cell>
          <cell r="S196" t="str">
            <v>JUMLAH</v>
          </cell>
        </row>
        <row r="197">
          <cell r="A197">
            <v>9</v>
          </cell>
          <cell r="C197" t="str">
            <v>Proporsi Campuran :</v>
          </cell>
          <cell r="D197" t="str">
            <v>- Agregat Kasar</v>
          </cell>
          <cell r="G197" t="str">
            <v>Ak</v>
          </cell>
          <cell r="H197">
            <v>35</v>
          </cell>
          <cell r="I197" t="str">
            <v>%</v>
          </cell>
          <cell r="J197" t="str">
            <v xml:space="preserve"> Gradasi harus</v>
          </cell>
          <cell r="L197" t="str">
            <v>NO.</v>
          </cell>
          <cell r="N197" t="str">
            <v>KOMPONEN</v>
          </cell>
          <cell r="P197" t="str">
            <v>SATUAN</v>
          </cell>
          <cell r="Q197" t="str">
            <v>KUANTITAS</v>
          </cell>
          <cell r="R197" t="str">
            <v>SATUAN</v>
          </cell>
          <cell r="S197" t="str">
            <v>HARGA</v>
          </cell>
        </row>
        <row r="198">
          <cell r="D198" t="str">
            <v>- Agregat Halus</v>
          </cell>
          <cell r="G198" t="str">
            <v>Ah</v>
          </cell>
          <cell r="H198">
            <v>20</v>
          </cell>
          <cell r="I198" t="str">
            <v>%</v>
          </cell>
          <cell r="J198" t="str">
            <v xml:space="preserve"> memenuhi</v>
          </cell>
          <cell r="R198" t="str">
            <v>(Rp.)</v>
          </cell>
          <cell r="S198" t="str">
            <v>(Rp.)</v>
          </cell>
        </row>
        <row r="199">
          <cell r="D199" t="str">
            <v>- Sirtu</v>
          </cell>
          <cell r="G199" t="str">
            <v>St</v>
          </cell>
          <cell r="H199">
            <v>45</v>
          </cell>
          <cell r="I199" t="str">
            <v>%</v>
          </cell>
          <cell r="J199" t="str">
            <v xml:space="preserve"> Spesifikasi</v>
          </cell>
        </row>
        <row r="200">
          <cell r="A200" t="str">
            <v>II.</v>
          </cell>
          <cell r="C200" t="str">
            <v>URUTAN KERJA</v>
          </cell>
        </row>
        <row r="201">
          <cell r="A201">
            <v>1</v>
          </cell>
          <cell r="C201" t="str">
            <v xml:space="preserve">Wheel Loader mencampur &amp; memuat Agregat ke </v>
          </cell>
          <cell r="L201" t="str">
            <v>A.</v>
          </cell>
          <cell r="N201" t="str">
            <v>TENAGA</v>
          </cell>
        </row>
        <row r="202">
          <cell r="C202" t="str">
            <v>dalam Dump Truck di Base Camp</v>
          </cell>
        </row>
        <row r="203">
          <cell r="A203">
            <v>2</v>
          </cell>
          <cell r="C203" t="str">
            <v>Dump Truck mengangkut Agregat ke lokasi</v>
          </cell>
          <cell r="L203" t="str">
            <v>1.</v>
          </cell>
          <cell r="N203" t="str">
            <v>Pekerja</v>
          </cell>
          <cell r="O203" t="str">
            <v>(L01)</v>
          </cell>
          <cell r="P203" t="str">
            <v>Jam</v>
          </cell>
          <cell r="Q203">
            <v>0.24988844265952695</v>
          </cell>
          <cell r="R203">
            <v>2857.14</v>
          </cell>
          <cell r="U203">
            <v>713.96626506024074</v>
          </cell>
        </row>
        <row r="204">
          <cell r="C204" t="str">
            <v>pekerjaan dan dihampar dengan Motor Grader</v>
          </cell>
          <cell r="L204" t="str">
            <v>2.</v>
          </cell>
          <cell r="N204" t="str">
            <v>Mandor</v>
          </cell>
          <cell r="O204" t="str">
            <v>(L03)</v>
          </cell>
          <cell r="P204" t="str">
            <v>Jam</v>
          </cell>
          <cell r="Q204">
            <v>3.5698348951360995E-2</v>
          </cell>
          <cell r="R204">
            <v>3214.29</v>
          </cell>
          <cell r="U204">
            <v>114.74484605087014</v>
          </cell>
        </row>
        <row r="205">
          <cell r="A205">
            <v>3</v>
          </cell>
          <cell r="C205" t="str">
            <v>Hamparan Agregat dibasahi dengan Water Tank Truck</v>
          </cell>
        </row>
        <row r="206">
          <cell r="C206" t="str">
            <v>sebelum dipadatkan dengan Tandem Roller &amp; PTR</v>
          </cell>
        </row>
        <row r="207">
          <cell r="A207">
            <v>4</v>
          </cell>
          <cell r="C207" t="str">
            <v>Selama pemadatan sekelompok pekerja akan</v>
          </cell>
          <cell r="Q207" t="str">
            <v xml:space="preserve">JUMLAH HARGA TENAGA   </v>
          </cell>
          <cell r="U207">
            <v>828.71111111111088</v>
          </cell>
        </row>
        <row r="208">
          <cell r="C208" t="str">
            <v>merapikan tepi hamparan dan level permukaan</v>
          </cell>
        </row>
        <row r="209">
          <cell r="C209" t="str">
            <v>dengan menggunakan alat bantu</v>
          </cell>
          <cell r="L209" t="str">
            <v>B.</v>
          </cell>
          <cell r="N209" t="str">
            <v>BAHAN</v>
          </cell>
        </row>
        <row r="211">
          <cell r="A211" t="str">
            <v>III.</v>
          </cell>
          <cell r="C211" t="str">
            <v>PEMAKAIAN BAHAN, ALAT DAN TENAGA</v>
          </cell>
          <cell r="L211" t="str">
            <v>1.</v>
          </cell>
          <cell r="N211" t="str">
            <v>Agregat Kasar     (M03)</v>
          </cell>
          <cell r="P211" t="str">
            <v>M3</v>
          </cell>
          <cell r="Q211">
            <v>0.42</v>
          </cell>
          <cell r="R211">
            <v>222345.54558042376</v>
          </cell>
          <cell r="U211">
            <v>93385.129143777973</v>
          </cell>
        </row>
        <row r="212">
          <cell r="A212" t="str">
            <v xml:space="preserve">   1.</v>
          </cell>
          <cell r="C212" t="str">
            <v>BAHAN</v>
          </cell>
          <cell r="L212" t="str">
            <v>2.</v>
          </cell>
          <cell r="N212" t="str">
            <v>Agregat Halus     (M04)</v>
          </cell>
          <cell r="P212" t="str">
            <v>M3</v>
          </cell>
          <cell r="Q212">
            <v>0.24</v>
          </cell>
          <cell r="R212">
            <v>194196.70775416915</v>
          </cell>
          <cell r="U212">
            <v>46607.209861000592</v>
          </cell>
        </row>
        <row r="213">
          <cell r="C213" t="str">
            <v>- Agregat Kasar</v>
          </cell>
          <cell r="D213" t="str">
            <v>=  Ak x 1 M3 x Fk</v>
          </cell>
          <cell r="G213" t="str">
            <v>M03</v>
          </cell>
          <cell r="H213">
            <v>0.42</v>
          </cell>
          <cell r="I213" t="str">
            <v>M3</v>
          </cell>
          <cell r="L213" t="str">
            <v>3.</v>
          </cell>
          <cell r="N213" t="str">
            <v>Sirtu</v>
          </cell>
          <cell r="O213" t="str">
            <v>(M16)</v>
          </cell>
          <cell r="P213" t="str">
            <v>M3</v>
          </cell>
          <cell r="Q213">
            <v>0.54</v>
          </cell>
          <cell r="R213">
            <v>264500</v>
          </cell>
          <cell r="U213">
            <v>142830</v>
          </cell>
        </row>
        <row r="214">
          <cell r="C214" t="str">
            <v>- Agregat Halus</v>
          </cell>
          <cell r="D214" t="str">
            <v>=  Ah x 1 M3 x Fk</v>
          </cell>
          <cell r="G214" t="str">
            <v>M04</v>
          </cell>
          <cell r="H214">
            <v>0.24</v>
          </cell>
          <cell r="I214" t="str">
            <v>M3</v>
          </cell>
        </row>
        <row r="215">
          <cell r="C215" t="str">
            <v>- Sirtu</v>
          </cell>
          <cell r="D215" t="str">
            <v>=  St x 1 M3 x Fk</v>
          </cell>
          <cell r="G215" t="str">
            <v>M16</v>
          </cell>
          <cell r="H215">
            <v>0.54</v>
          </cell>
          <cell r="I215" t="str">
            <v>M3</v>
          </cell>
        </row>
        <row r="216">
          <cell r="A216" t="str">
            <v xml:space="preserve">   2.</v>
          </cell>
          <cell r="C216" t="str">
            <v>ALAT</v>
          </cell>
        </row>
        <row r="217">
          <cell r="A217" t="str">
            <v>2.a.</v>
          </cell>
          <cell r="C217" t="str">
            <v>WHEEL LOADER</v>
          </cell>
          <cell r="G217" t="str">
            <v>(E15)</v>
          </cell>
          <cell r="Q217" t="str">
            <v xml:space="preserve">JUMLAH HARGA BAHAN   </v>
          </cell>
          <cell r="U217">
            <v>282822.33900477854</v>
          </cell>
        </row>
        <row r="218">
          <cell r="C218" t="str">
            <v>Kapasitas bucket</v>
          </cell>
          <cell r="G218" t="str">
            <v>V</v>
          </cell>
          <cell r="H218">
            <v>1.5</v>
          </cell>
          <cell r="I218" t="str">
            <v>M3</v>
          </cell>
        </row>
        <row r="219">
          <cell r="C219" t="str">
            <v>Faktor bucket</v>
          </cell>
          <cell r="G219" t="str">
            <v>Fb</v>
          </cell>
          <cell r="H219">
            <v>0.9</v>
          </cell>
          <cell r="I219" t="str">
            <v>-</v>
          </cell>
          <cell r="J219" t="str">
            <v>Pemuatan ringan</v>
          </cell>
          <cell r="L219" t="str">
            <v>C.</v>
          </cell>
          <cell r="N219" t="str">
            <v>PERALATAN</v>
          </cell>
        </row>
        <row r="220">
          <cell r="C220" t="str">
            <v>Faktor Efisiensi alat</v>
          </cell>
          <cell r="G220" t="str">
            <v>Fa</v>
          </cell>
          <cell r="H220">
            <v>0.83</v>
          </cell>
          <cell r="I220" t="str">
            <v>-</v>
          </cell>
        </row>
        <row r="221">
          <cell r="C221" t="str">
            <v>Waktu siklus</v>
          </cell>
          <cell r="G221" t="str">
            <v>Ts1</v>
          </cell>
          <cell r="L221" t="str">
            <v>1</v>
          </cell>
          <cell r="N221" t="str">
            <v>Wheel Loader</v>
          </cell>
          <cell r="O221" t="str">
            <v>E15</v>
          </cell>
          <cell r="P221" t="str">
            <v>Jam</v>
          </cell>
          <cell r="Q221">
            <v>3.5698348951360995E-2</v>
          </cell>
          <cell r="R221">
            <v>163808.13869490434</v>
          </cell>
          <cell r="U221">
            <v>5847.680096203635</v>
          </cell>
        </row>
        <row r="222">
          <cell r="C222" t="str">
            <v>- Mencampur</v>
          </cell>
          <cell r="G222" t="str">
            <v>T1</v>
          </cell>
          <cell r="H222">
            <v>1.5</v>
          </cell>
          <cell r="I222" t="str">
            <v>menit</v>
          </cell>
          <cell r="L222" t="str">
            <v>2</v>
          </cell>
          <cell r="N222" t="str">
            <v>Dump Truck</v>
          </cell>
          <cell r="O222" t="str">
            <v>E09</v>
          </cell>
          <cell r="P222" t="str">
            <v>Jam</v>
          </cell>
          <cell r="Q222">
            <v>0.14542063837680036</v>
          </cell>
          <cell r="R222">
            <v>70230.073977639215</v>
          </cell>
          <cell r="U222">
            <v>10212.90219107821</v>
          </cell>
        </row>
        <row r="223">
          <cell r="C223" t="str">
            <v>- Memuat dan lain-lain</v>
          </cell>
          <cell r="G223" t="str">
            <v>T2</v>
          </cell>
          <cell r="H223">
            <v>0.5</v>
          </cell>
          <cell r="I223" t="str">
            <v>menit</v>
          </cell>
          <cell r="L223" t="str">
            <v>3</v>
          </cell>
          <cell r="N223" t="str">
            <v>Motor Grader</v>
          </cell>
          <cell r="O223" t="str">
            <v>E13</v>
          </cell>
          <cell r="P223" t="str">
            <v>Jam</v>
          </cell>
          <cell r="Q223">
            <v>1.1713520749665328E-2</v>
          </cell>
          <cell r="R223">
            <v>201666.62574070093</v>
          </cell>
          <cell r="U223">
            <v>2362.2262051286921</v>
          </cell>
        </row>
        <row r="224">
          <cell r="G224" t="str">
            <v>Ts1</v>
          </cell>
          <cell r="H224">
            <v>2</v>
          </cell>
          <cell r="I224" t="str">
            <v>menit</v>
          </cell>
          <cell r="L224" t="str">
            <v>4</v>
          </cell>
          <cell r="N224" t="str">
            <v>Tandem Roller</v>
          </cell>
          <cell r="O224" t="str">
            <v>E17</v>
          </cell>
          <cell r="P224" t="str">
            <v>Jam</v>
          </cell>
          <cell r="Q224">
            <v>1.7849174475680501E-2</v>
          </cell>
          <cell r="R224">
            <v>293927.19306224468</v>
          </cell>
          <cell r="U224">
            <v>5246.3577521150328</v>
          </cell>
        </row>
        <row r="225">
          <cell r="L225" t="str">
            <v>5</v>
          </cell>
          <cell r="N225" t="str">
            <v>Water Tanker</v>
          </cell>
          <cell r="O225" t="str">
            <v>E23</v>
          </cell>
          <cell r="P225" t="str">
            <v>Jam</v>
          </cell>
          <cell r="Q225">
            <v>2.1084337349397592E-2</v>
          </cell>
          <cell r="R225">
            <v>67020.510980434308</v>
          </cell>
          <cell r="U225">
            <v>1413.0830628404826</v>
          </cell>
        </row>
        <row r="226">
          <cell r="C226" t="str">
            <v>Kap. Prod. / jam =</v>
          </cell>
          <cell r="D226" t="str">
            <v>V x Fb x Fa x 60</v>
          </cell>
          <cell r="G226" t="str">
            <v>Q1</v>
          </cell>
          <cell r="H226">
            <v>28.012500000000003</v>
          </cell>
          <cell r="I226" t="str">
            <v>M3</v>
          </cell>
          <cell r="L226" t="str">
            <v>6</v>
          </cell>
          <cell r="N226" t="str">
            <v>Alat Bantu</v>
          </cell>
          <cell r="P226" t="str">
            <v>Ls</v>
          </cell>
          <cell r="Q226">
            <v>1</v>
          </cell>
          <cell r="R226">
            <v>75</v>
          </cell>
          <cell r="U226">
            <v>75</v>
          </cell>
        </row>
        <row r="227">
          <cell r="D227" t="str">
            <v>Fk x Ts1</v>
          </cell>
        </row>
        <row r="228">
          <cell r="C228" t="str">
            <v>Koefisien Alat / M3</v>
          </cell>
          <cell r="D228" t="str">
            <v xml:space="preserve"> =  1  :  Q1</v>
          </cell>
          <cell r="G228" t="str">
            <v>(E15)</v>
          </cell>
          <cell r="H228">
            <v>3.5698348951360995E-2</v>
          </cell>
          <cell r="I228" t="str">
            <v>Jam</v>
          </cell>
        </row>
        <row r="229">
          <cell r="Q229" t="str">
            <v xml:space="preserve">JUMLAH HARGA PERALATAN   </v>
          </cell>
          <cell r="U229">
            <v>25157.249307366055</v>
          </cell>
        </row>
        <row r="230">
          <cell r="A230" t="str">
            <v>2.b.</v>
          </cell>
          <cell r="C230" t="str">
            <v>DUMP TRUCK</v>
          </cell>
          <cell r="G230" t="str">
            <v>(E09)</v>
          </cell>
        </row>
        <row r="231">
          <cell r="C231" t="str">
            <v>Kapasitas bak</v>
          </cell>
          <cell r="G231" t="str">
            <v>V</v>
          </cell>
          <cell r="H231">
            <v>6</v>
          </cell>
          <cell r="I231" t="str">
            <v>M3</v>
          </cell>
          <cell r="L231" t="str">
            <v>D.</v>
          </cell>
          <cell r="N231" t="str">
            <v>JUMLAH HARGA TENAGA, BAHAN DAN PERALATAN  ( A + B + C )</v>
          </cell>
          <cell r="U231">
            <v>308808.29942325567</v>
          </cell>
        </row>
        <row r="232">
          <cell r="C232" t="str">
            <v>Faktor Efisiensi alat</v>
          </cell>
          <cell r="G232" t="str">
            <v>Fa</v>
          </cell>
          <cell r="H232">
            <v>0.83</v>
          </cell>
          <cell r="I232" t="str">
            <v>-</v>
          </cell>
          <cell r="L232" t="str">
            <v>E.</v>
          </cell>
          <cell r="N232" t="str">
            <v>OVERHEAD &amp; PROFIT</v>
          </cell>
          <cell r="P232">
            <v>10</v>
          </cell>
          <cell r="Q232" t="str">
            <v>%  x  D</v>
          </cell>
          <cell r="U232">
            <v>30880.829942325567</v>
          </cell>
        </row>
        <row r="233">
          <cell r="C233" t="str">
            <v>Kecepatan rata-rata bermuatan</v>
          </cell>
          <cell r="G233" t="str">
            <v>v1</v>
          </cell>
          <cell r="H233">
            <v>45</v>
          </cell>
          <cell r="I233" t="str">
            <v>KM / Jam</v>
          </cell>
          <cell r="L233" t="str">
            <v>F.</v>
          </cell>
          <cell r="N233" t="str">
            <v>HARGA SATUAN PEKERJAAN  ( D + E )</v>
          </cell>
          <cell r="U233">
            <v>339689.1293655812</v>
          </cell>
        </row>
        <row r="234">
          <cell r="C234" t="str">
            <v>Kecepatan rata-rata kosong</v>
          </cell>
          <cell r="G234" t="str">
            <v>v2</v>
          </cell>
          <cell r="H234">
            <v>60</v>
          </cell>
          <cell r="I234" t="str">
            <v>KM / Jam</v>
          </cell>
          <cell r="L234" t="str">
            <v>Note: 1</v>
          </cell>
          <cell r="N234" t="str">
            <v>SATUAN dapat berdasarkan atas jam operasi untuk Tenaga Kerja dan Peralatan, volume dan/atau ukuran</v>
          </cell>
        </row>
        <row r="235">
          <cell r="C235" t="str">
            <v>Waktu Siklus  :  - Waktu memuat = V : Q1 x 60</v>
          </cell>
          <cell r="G235" t="str">
            <v>T1</v>
          </cell>
          <cell r="H235">
            <v>12.851405622489958</v>
          </cell>
          <cell r="I235" t="str">
            <v>menit</v>
          </cell>
          <cell r="N235" t="str">
            <v>berat untuk bahan-bahan.</v>
          </cell>
        </row>
        <row r="236">
          <cell r="C236" t="str">
            <v>- Waktu tempuh isi = (L : v1) x 60 menit</v>
          </cell>
          <cell r="G236" t="str">
            <v>T2</v>
          </cell>
          <cell r="H236">
            <v>11.633333333333333</v>
          </cell>
          <cell r="I236" t="str">
            <v>menit</v>
          </cell>
          <cell r="L236">
            <v>2</v>
          </cell>
          <cell r="N236" t="str">
            <v>Kuantitas satuan adalah kuantitas setiap komponen untuk menyelesaikan satu satuan pekerjaan dari nomor</v>
          </cell>
        </row>
        <row r="237">
          <cell r="C237" t="str">
            <v>- Waktu tempuh kosong = (L : v2) x 60 menit</v>
          </cell>
          <cell r="G237" t="str">
            <v>T3</v>
          </cell>
          <cell r="H237">
            <v>8.7249999999999996</v>
          </cell>
          <cell r="I237" t="str">
            <v>menit</v>
          </cell>
          <cell r="N237" t="str">
            <v>mata pembayaran.</v>
          </cell>
        </row>
        <row r="238">
          <cell r="C238" t="str">
            <v>- Lain-lain termasuk menurunkan Agregat</v>
          </cell>
          <cell r="G238" t="str">
            <v>T4</v>
          </cell>
          <cell r="H238">
            <v>3</v>
          </cell>
          <cell r="I238" t="str">
            <v>menit</v>
          </cell>
          <cell r="L238">
            <v>3</v>
          </cell>
          <cell r="N238" t="str">
            <v>Biaya satuan untuk peralatan sudah termasuk bahan bakar, bahan habis dipakai dan operator.</v>
          </cell>
        </row>
        <row r="239">
          <cell r="G239" t="str">
            <v>Ts2</v>
          </cell>
          <cell r="H239">
            <v>36.20973895582329</v>
          </cell>
          <cell r="I239" t="str">
            <v>menit</v>
          </cell>
          <cell r="L239">
            <v>4</v>
          </cell>
          <cell r="N239" t="str">
            <v>Biaya satuan sudah termasuk pengeluaran untuk seluruh pajak yang berkaitan (tetapi tidak termasuk PPN</v>
          </cell>
        </row>
        <row r="240">
          <cell r="J240" t="str">
            <v>Berlanjut ke halaman berikut</v>
          </cell>
          <cell r="N240" t="str">
            <v>yang dibayar dari kontrak) dan biaya-biaya lainnya.</v>
          </cell>
        </row>
        <row r="241">
          <cell r="A241" t="str">
            <v>ITEM PEMBAYARAN NO.</v>
          </cell>
          <cell r="D241" t="str">
            <v>:  4.2 (2)</v>
          </cell>
          <cell r="J241" t="str">
            <v>Analisa EI-422</v>
          </cell>
        </row>
        <row r="242">
          <cell r="A242" t="str">
            <v>JENIS PEKERJAAN</v>
          </cell>
          <cell r="D242" t="str">
            <v>:  Lps. Pond. Ag. Kls. B, CBR Min 35%</v>
          </cell>
        </row>
        <row r="243">
          <cell r="A243" t="str">
            <v>SATUAN PEMBAYARAN</v>
          </cell>
          <cell r="D243" t="str">
            <v>:  M3</v>
          </cell>
          <cell r="J243" t="str">
            <v xml:space="preserve">         URAIAN ANALISA HARGA SATUAN</v>
          </cell>
        </row>
        <row r="244">
          <cell r="J244" t="str">
            <v>Lanjutan</v>
          </cell>
        </row>
        <row r="246">
          <cell r="A246" t="str">
            <v>No.</v>
          </cell>
          <cell r="C246" t="str">
            <v>U R A I A N</v>
          </cell>
          <cell r="G246" t="str">
            <v>KODE</v>
          </cell>
          <cell r="H246" t="str">
            <v>KOEF.</v>
          </cell>
          <cell r="I246" t="str">
            <v>SATUAN</v>
          </cell>
          <cell r="J246" t="str">
            <v>KETERANGAN</v>
          </cell>
        </row>
        <row r="249">
          <cell r="C249" t="str">
            <v xml:space="preserve">Kap. Prod. / Jam = </v>
          </cell>
          <cell r="D249" t="str">
            <v>V x Fa x 60</v>
          </cell>
          <cell r="G249" t="str">
            <v>Q2</v>
          </cell>
          <cell r="H249">
            <v>6.8766030129017413</v>
          </cell>
          <cell r="I249" t="str">
            <v>M3</v>
          </cell>
        </row>
        <row r="250">
          <cell r="D250" t="str">
            <v>Fk x Ts2</v>
          </cell>
        </row>
        <row r="251">
          <cell r="C251" t="str">
            <v>Koefisien Alat / M3</v>
          </cell>
          <cell r="D251" t="str">
            <v xml:space="preserve"> = 1 : Q2</v>
          </cell>
          <cell r="G251" t="str">
            <v>(E08)</v>
          </cell>
          <cell r="H251">
            <v>0.14542063837680036</v>
          </cell>
          <cell r="I251" t="str">
            <v>Jam</v>
          </cell>
        </row>
        <row r="253">
          <cell r="A253" t="str">
            <v>2.c.</v>
          </cell>
          <cell r="C253" t="str">
            <v>MOTOR GRADER</v>
          </cell>
          <cell r="G253" t="str">
            <v>(E13)</v>
          </cell>
        </row>
        <row r="254">
          <cell r="C254" t="str">
            <v>Panjang hamparaan</v>
          </cell>
          <cell r="G254" t="str">
            <v>Lh</v>
          </cell>
          <cell r="H254">
            <v>50</v>
          </cell>
          <cell r="I254" t="str">
            <v>M</v>
          </cell>
        </row>
        <row r="255">
          <cell r="C255" t="str">
            <v>Lebar efektif kerja blade</v>
          </cell>
          <cell r="G255" t="str">
            <v>b</v>
          </cell>
          <cell r="H255">
            <v>2.4</v>
          </cell>
          <cell r="I255" t="str">
            <v>M</v>
          </cell>
        </row>
        <row r="256">
          <cell r="C256" t="str">
            <v>Faktor Efisiensi alat</v>
          </cell>
          <cell r="G256" t="str">
            <v>Fa</v>
          </cell>
          <cell r="H256">
            <v>0.83</v>
          </cell>
          <cell r="I256" t="str">
            <v>-</v>
          </cell>
        </row>
        <row r="257">
          <cell r="C257" t="str">
            <v>Kecepatan rata-rata alat</v>
          </cell>
          <cell r="G257" t="str">
            <v>v</v>
          </cell>
          <cell r="H257">
            <v>4</v>
          </cell>
          <cell r="I257" t="str">
            <v>KM / Jam</v>
          </cell>
        </row>
        <row r="258">
          <cell r="C258" t="str">
            <v>Jumlah lintasan</v>
          </cell>
          <cell r="G258" t="str">
            <v>n</v>
          </cell>
          <cell r="H258">
            <v>6</v>
          </cell>
          <cell r="I258" t="str">
            <v>lintasan</v>
          </cell>
          <cell r="J258" t="str">
            <v>3 x pp</v>
          </cell>
        </row>
        <row r="259">
          <cell r="C259" t="str">
            <v>Waktu Siklus</v>
          </cell>
          <cell r="G259" t="str">
            <v>Ts3</v>
          </cell>
        </row>
        <row r="260">
          <cell r="C260" t="str">
            <v>- Perataan 1 lintasan  = (Lh x 60) : (v x 1000)</v>
          </cell>
          <cell r="G260" t="str">
            <v>T1</v>
          </cell>
          <cell r="H260">
            <v>0.75</v>
          </cell>
          <cell r="I260" t="str">
            <v>menit</v>
          </cell>
        </row>
        <row r="261">
          <cell r="C261" t="str">
            <v>- Lain-lain</v>
          </cell>
          <cell r="G261" t="str">
            <v>T2</v>
          </cell>
          <cell r="H261">
            <v>1</v>
          </cell>
          <cell r="I261" t="str">
            <v>menit</v>
          </cell>
        </row>
        <row r="262">
          <cell r="G262" t="str">
            <v>Ts3</v>
          </cell>
          <cell r="H262">
            <v>1.75</v>
          </cell>
          <cell r="I262" t="str">
            <v>menit</v>
          </cell>
        </row>
        <row r="264">
          <cell r="C264" t="str">
            <v>Kap.Prod. / jam =</v>
          </cell>
          <cell r="D264" t="str">
            <v>Lh x b x t x Fa x 60</v>
          </cell>
          <cell r="G264" t="str">
            <v>Q3</v>
          </cell>
          <cell r="H264">
            <v>85.371428571428567</v>
          </cell>
          <cell r="I264" t="str">
            <v>M3</v>
          </cell>
        </row>
        <row r="265">
          <cell r="D265" t="str">
            <v>n x Ts3</v>
          </cell>
        </row>
        <row r="266">
          <cell r="C266" t="str">
            <v>Koefisien Alat / M3</v>
          </cell>
          <cell r="D266" t="str">
            <v xml:space="preserve"> = 1 : Q3</v>
          </cell>
          <cell r="G266" t="str">
            <v>(E13)</v>
          </cell>
          <cell r="H266">
            <v>1.1713520749665328E-2</v>
          </cell>
          <cell r="I266" t="str">
            <v>Jam</v>
          </cell>
        </row>
        <row r="268">
          <cell r="A268" t="str">
            <v>2.d.</v>
          </cell>
          <cell r="C268" t="str">
            <v>TANDEM ROLLER</v>
          </cell>
          <cell r="G268" t="str">
            <v>(E17)</v>
          </cell>
        </row>
        <row r="269">
          <cell r="C269" t="str">
            <v>Kecepatan rata-rata</v>
          </cell>
          <cell r="G269" t="str">
            <v>v</v>
          </cell>
          <cell r="H269">
            <v>3</v>
          </cell>
          <cell r="I269" t="str">
            <v>KM / Jam</v>
          </cell>
        </row>
        <row r="270">
          <cell r="C270" t="str">
            <v>Lebar efektif pemadatan</v>
          </cell>
          <cell r="G270" t="str">
            <v>b</v>
          </cell>
          <cell r="H270">
            <v>1.2</v>
          </cell>
          <cell r="I270" t="str">
            <v>M</v>
          </cell>
        </row>
        <row r="271">
          <cell r="C271" t="str">
            <v>Jumlah lintasan</v>
          </cell>
          <cell r="G271" t="str">
            <v>n</v>
          </cell>
          <cell r="H271">
            <v>8</v>
          </cell>
          <cell r="I271" t="str">
            <v>lintasan</v>
          </cell>
        </row>
        <row r="272">
          <cell r="C272" t="str">
            <v>Faktor Efisiensi alat</v>
          </cell>
          <cell r="G272" t="str">
            <v>Fa</v>
          </cell>
          <cell r="H272">
            <v>0.83</v>
          </cell>
          <cell r="I272" t="str">
            <v>-</v>
          </cell>
        </row>
        <row r="274">
          <cell r="C274" t="str">
            <v>Kap.Prod./jam =</v>
          </cell>
          <cell r="D274" t="str">
            <v>(v x 1000) x b x t x Fa</v>
          </cell>
          <cell r="G274" t="str">
            <v>Q4</v>
          </cell>
          <cell r="H274">
            <v>56.024999999999999</v>
          </cell>
          <cell r="I274" t="str">
            <v>M3</v>
          </cell>
        </row>
        <row r="275">
          <cell r="D275" t="str">
            <v>n</v>
          </cell>
        </row>
        <row r="276">
          <cell r="C276" t="str">
            <v>Koefisien Alat / M3</v>
          </cell>
          <cell r="D276" t="str">
            <v xml:space="preserve"> = 1 : Q4</v>
          </cell>
          <cell r="G276" t="str">
            <v>(E17)</v>
          </cell>
          <cell r="H276">
            <v>1.7849174475680501E-2</v>
          </cell>
          <cell r="I276" t="str">
            <v>Jam</v>
          </cell>
        </row>
        <row r="279">
          <cell r="A279" t="str">
            <v>2.e.</v>
          </cell>
          <cell r="C279" t="str">
            <v>WATER TANKER</v>
          </cell>
          <cell r="G279" t="str">
            <v>(E23)</v>
          </cell>
        </row>
        <row r="280">
          <cell r="C280" t="str">
            <v>Volume Tangki air</v>
          </cell>
          <cell r="G280" t="str">
            <v>V</v>
          </cell>
          <cell r="H280">
            <v>4</v>
          </cell>
          <cell r="I280" t="str">
            <v>M3</v>
          </cell>
          <cell r="J280" t="str">
            <v>Lump Sum</v>
          </cell>
        </row>
        <row r="281">
          <cell r="C281" t="str">
            <v>Kebutuhan air / M3 agregat padat</v>
          </cell>
          <cell r="G281" t="str">
            <v>Wc</v>
          </cell>
          <cell r="H281">
            <v>7.0000000000000007E-2</v>
          </cell>
          <cell r="I281" t="str">
            <v>M3</v>
          </cell>
        </row>
        <row r="282">
          <cell r="C282" t="str">
            <v>Pengisian tangki / Jam</v>
          </cell>
          <cell r="G282" t="str">
            <v>n</v>
          </cell>
          <cell r="H282">
            <v>1</v>
          </cell>
          <cell r="I282" t="str">
            <v>kali</v>
          </cell>
        </row>
        <row r="283">
          <cell r="C283" t="str">
            <v>Faktor efisiensi alat</v>
          </cell>
          <cell r="G283" t="str">
            <v>Fa</v>
          </cell>
          <cell r="H283">
            <v>0.83</v>
          </cell>
          <cell r="I283" t="str">
            <v>-</v>
          </cell>
        </row>
        <row r="285">
          <cell r="C285" t="str">
            <v>Kap. Prod. / Jam  =</v>
          </cell>
          <cell r="D285" t="str">
            <v>V x n Fa</v>
          </cell>
          <cell r="G285" t="str">
            <v>Q5</v>
          </cell>
          <cell r="H285">
            <v>47.428571428571423</v>
          </cell>
          <cell r="I285" t="str">
            <v>M3</v>
          </cell>
        </row>
        <row r="286">
          <cell r="D286" t="str">
            <v>Wc</v>
          </cell>
        </row>
        <row r="288">
          <cell r="C288" t="str">
            <v>Koefisien Alat / M3</v>
          </cell>
          <cell r="D288" t="str">
            <v xml:space="preserve"> =   1 : Q5</v>
          </cell>
          <cell r="G288" t="str">
            <v>(E23)</v>
          </cell>
          <cell r="H288">
            <v>2.1084337349397592E-2</v>
          </cell>
          <cell r="I288" t="str">
            <v>Jam</v>
          </cell>
        </row>
        <row r="292">
          <cell r="C292" t="str">
            <v>ALAT BANTU</v>
          </cell>
        </row>
        <row r="293">
          <cell r="C293" t="str">
            <v>diperlukan :</v>
          </cell>
        </row>
        <row r="294">
          <cell r="C294" t="str">
            <v>- Kereta dorong   = 2 buah</v>
          </cell>
        </row>
        <row r="295">
          <cell r="C295" t="str">
            <v>- Sekop                = 3 buah</v>
          </cell>
        </row>
        <row r="296">
          <cell r="C296" t="str">
            <v>- Garpu                = 2 buah</v>
          </cell>
        </row>
        <row r="299">
          <cell r="J299" t="str">
            <v>Berlanjut ke halaman berikut</v>
          </cell>
        </row>
        <row r="300">
          <cell r="A300" t="str">
            <v>ITEM PEMBAYARAN NO.</v>
          </cell>
          <cell r="D300" t="str">
            <v>:  4.2 (2)</v>
          </cell>
          <cell r="J300" t="str">
            <v>Analisa EI-422</v>
          </cell>
        </row>
        <row r="301">
          <cell r="A301" t="str">
            <v>JENIS PEKERJAAN</v>
          </cell>
          <cell r="D301" t="str">
            <v>:  Lps. Pond. Ag. Kls. B, CBR Min 35%</v>
          </cell>
        </row>
        <row r="302">
          <cell r="A302" t="str">
            <v>SATUAN PEMBAYARAN</v>
          </cell>
          <cell r="D302" t="str">
            <v>:  M3</v>
          </cell>
          <cell r="J302" t="str">
            <v xml:space="preserve">         URAIAN ANALISA HARGA SATUAN</v>
          </cell>
        </row>
        <row r="303">
          <cell r="J303" t="str">
            <v>Lanjutan</v>
          </cell>
        </row>
        <row r="305">
          <cell r="A305" t="str">
            <v>No.</v>
          </cell>
          <cell r="C305" t="str">
            <v>U R A I A N</v>
          </cell>
          <cell r="G305" t="str">
            <v>KODE</v>
          </cell>
          <cell r="H305" t="str">
            <v>KOEF.</v>
          </cell>
          <cell r="I305" t="str">
            <v>SATUAN</v>
          </cell>
          <cell r="J305" t="str">
            <v>KETERANGAN</v>
          </cell>
        </row>
        <row r="308">
          <cell r="A308" t="str">
            <v xml:space="preserve">   3.</v>
          </cell>
          <cell r="C308" t="str">
            <v>TENAGA</v>
          </cell>
        </row>
        <row r="309">
          <cell r="C309" t="str">
            <v>Produksi menentukan : WHEEL LOADER</v>
          </cell>
          <cell r="G309" t="str">
            <v>Q1</v>
          </cell>
          <cell r="H309">
            <v>28.012500000000003</v>
          </cell>
          <cell r="I309" t="str">
            <v>M3/Jam</v>
          </cell>
        </row>
        <row r="310">
          <cell r="C310" t="str">
            <v>Produksi Agregat / hari  =  Tk x Q1</v>
          </cell>
          <cell r="G310" t="str">
            <v>Qt</v>
          </cell>
          <cell r="H310">
            <v>196.08750000000003</v>
          </cell>
          <cell r="I310" t="str">
            <v>M3</v>
          </cell>
        </row>
        <row r="311">
          <cell r="C311" t="str">
            <v>Kebutuhan tenaga :</v>
          </cell>
        </row>
        <row r="312">
          <cell r="D312" t="str">
            <v>- Pekerja</v>
          </cell>
          <cell r="G312" t="str">
            <v>P</v>
          </cell>
          <cell r="H312">
            <v>7</v>
          </cell>
          <cell r="I312" t="str">
            <v>orang</v>
          </cell>
        </row>
        <row r="313">
          <cell r="D313" t="str">
            <v>- Mandor</v>
          </cell>
          <cell r="G313" t="str">
            <v>M</v>
          </cell>
          <cell r="H313">
            <v>1</v>
          </cell>
          <cell r="I313" t="str">
            <v>orang</v>
          </cell>
        </row>
        <row r="315">
          <cell r="C315" t="str">
            <v>Koefisien tenaga / M3     :</v>
          </cell>
        </row>
        <row r="316">
          <cell r="D316" t="str">
            <v>- Pekerja</v>
          </cell>
          <cell r="E316" t="str">
            <v>= (Tk x P) : Qt</v>
          </cell>
          <cell r="G316" t="str">
            <v>(L01)</v>
          </cell>
          <cell r="H316">
            <v>0.24988844265952695</v>
          </cell>
          <cell r="I316" t="str">
            <v>Jam</v>
          </cell>
        </row>
        <row r="317">
          <cell r="D317" t="str">
            <v>- Mandor</v>
          </cell>
          <cell r="E317" t="str">
            <v>= (Tk x M) : Qt</v>
          </cell>
          <cell r="G317" t="str">
            <v>(L03)</v>
          </cell>
          <cell r="H317">
            <v>3.5698348951360995E-2</v>
          </cell>
          <cell r="I317" t="str">
            <v>Jam</v>
          </cell>
        </row>
        <row r="319">
          <cell r="A319" t="str">
            <v>4.</v>
          </cell>
          <cell r="C319" t="str">
            <v>HARGA DASAR SATUAN UPAH, BAHAN DAN ALAT</v>
          </cell>
        </row>
        <row r="320">
          <cell r="C320" t="str">
            <v>Lihat lampiran.</v>
          </cell>
        </row>
        <row r="322">
          <cell r="A322" t="str">
            <v>5.</v>
          </cell>
          <cell r="C322" t="str">
            <v>ANALISA HARGA SATUAN PEKERJAAN</v>
          </cell>
        </row>
        <row r="323">
          <cell r="C323" t="str">
            <v>Lihat perhitungan dalam FORMULIR STANDAR UNTUK</v>
          </cell>
        </row>
        <row r="324">
          <cell r="C324" t="str">
            <v>PEREKEMAN ANALISA MASING-MASING HARGA</v>
          </cell>
        </row>
        <row r="325">
          <cell r="C325" t="str">
            <v>SATUAN.</v>
          </cell>
        </row>
        <row r="326">
          <cell r="C326" t="str">
            <v>Didapat Harga Satuan Pekerjaan :</v>
          </cell>
        </row>
        <row r="328">
          <cell r="C328" t="str">
            <v xml:space="preserve">Rp.  </v>
          </cell>
          <cell r="D328">
            <v>339689.1293655812</v>
          </cell>
          <cell r="E328" t="str">
            <v xml:space="preserve"> / M3.</v>
          </cell>
        </row>
        <row r="331">
          <cell r="A331" t="str">
            <v>6.</v>
          </cell>
          <cell r="C331" t="str">
            <v>WAKTU PELAKSANAAN YANG DIPERLUKAN</v>
          </cell>
        </row>
        <row r="332">
          <cell r="C332" t="str">
            <v>Waktu pelaksanaan</v>
          </cell>
          <cell r="D332" t="str">
            <v>:  . . . . . . .  bulan</v>
          </cell>
        </row>
        <row r="334">
          <cell r="A334" t="str">
            <v>7.</v>
          </cell>
          <cell r="C334" t="str">
            <v>VOLUME PEKERJAAN YANG DIPERLUKAN</v>
          </cell>
        </row>
        <row r="335">
          <cell r="C335" t="str">
            <v>Volume pekerjaan  :</v>
          </cell>
          <cell r="D335">
            <v>0</v>
          </cell>
          <cell r="E335" t="str">
            <v>M3</v>
          </cell>
        </row>
        <row r="359">
          <cell r="A359" t="str">
            <v>ITEM PEMBAYARAN NO.</v>
          </cell>
          <cell r="D359" t="str">
            <v>:  4.2 (4)</v>
          </cell>
          <cell r="J359" t="str">
            <v>Analisa EI-424</v>
          </cell>
          <cell r="T359" t="str">
            <v>Analisa EI-424</v>
          </cell>
        </row>
        <row r="360">
          <cell r="A360" t="str">
            <v>JENIS PEKERJAAN</v>
          </cell>
          <cell r="D360" t="str">
            <v>:  SEMEN Utk. Pond. Semen Tanah</v>
          </cell>
        </row>
        <row r="361">
          <cell r="A361" t="str">
            <v>SATUAN PEMBAYARAN</v>
          </cell>
          <cell r="D361" t="str">
            <v>:  TON</v>
          </cell>
          <cell r="J361" t="str">
            <v xml:space="preserve">         URAIAN ANALISA HARGA SATUAN</v>
          </cell>
          <cell r="L361" t="str">
            <v>FORMULIR STANDAR UNTUK</v>
          </cell>
        </row>
        <row r="362">
          <cell r="L362" t="str">
            <v>PEREKAMAN ANALISA MASING-MASING HARGA SATUAN</v>
          </cell>
        </row>
        <row r="363">
          <cell r="L363" t="str">
            <v xml:space="preserve">                                                                                                            </v>
          </cell>
        </row>
        <row r="364">
          <cell r="A364" t="str">
            <v>No.</v>
          </cell>
          <cell r="C364" t="str">
            <v>U R A I A N</v>
          </cell>
          <cell r="G364" t="str">
            <v>KODE</v>
          </cell>
          <cell r="H364" t="str">
            <v>KOEF.</v>
          </cell>
          <cell r="I364" t="str">
            <v>SATUAN</v>
          </cell>
          <cell r="J364" t="str">
            <v>KETERANGAN</v>
          </cell>
        </row>
        <row r="366">
          <cell r="L366" t="str">
            <v>PROYEK</v>
          </cell>
          <cell r="O366" t="str">
            <v>:</v>
          </cell>
        </row>
        <row r="367">
          <cell r="A367" t="str">
            <v>I.</v>
          </cell>
          <cell r="C367" t="str">
            <v>ASUMSI</v>
          </cell>
          <cell r="L367" t="str">
            <v>No. PAKET KONTRAK</v>
          </cell>
          <cell r="O367" t="str">
            <v>:</v>
          </cell>
        </row>
        <row r="368">
          <cell r="A368">
            <v>1</v>
          </cell>
          <cell r="C368" t="str">
            <v>Pekerjaan dilakukan secara manual</v>
          </cell>
          <cell r="L368" t="str">
            <v>NAMA PAKET</v>
          </cell>
          <cell r="O368" t="str">
            <v>:</v>
          </cell>
        </row>
        <row r="369">
          <cell r="A369">
            <v>2</v>
          </cell>
          <cell r="C369" t="str">
            <v>Lokasi pekerjaan : sepanjang jalan</v>
          </cell>
          <cell r="L369" t="str">
            <v>PROP / KAB / KODYA</v>
          </cell>
          <cell r="O369" t="str">
            <v>:</v>
          </cell>
        </row>
        <row r="370">
          <cell r="A370">
            <v>3</v>
          </cell>
          <cell r="C370" t="str">
            <v>Kondisi Jalan   :  sedang / baik</v>
          </cell>
          <cell r="L370" t="str">
            <v>ITEM PEMBAYARAN NO.</v>
          </cell>
          <cell r="O370" t="str">
            <v>:  4.2 (4)</v>
          </cell>
          <cell r="R370" t="str">
            <v>PERKIRAAN VOL. PEK.</v>
          </cell>
          <cell r="T370" t="str">
            <v>:</v>
          </cell>
          <cell r="U370">
            <v>0</v>
          </cell>
        </row>
        <row r="371">
          <cell r="A371">
            <v>4</v>
          </cell>
          <cell r="C371" t="str">
            <v>Jarak rata-rata Base Camp ke lokasi pekerjaan</v>
          </cell>
          <cell r="G371" t="str">
            <v>L</v>
          </cell>
          <cell r="H371">
            <v>8.7249999999999996</v>
          </cell>
          <cell r="I371" t="str">
            <v>Km</v>
          </cell>
          <cell r="L371" t="str">
            <v>JENIS PEKERJAAN</v>
          </cell>
          <cell r="O371" t="str">
            <v>:  SEMEN Utk. Pond. Semen Tanah</v>
          </cell>
          <cell r="R371" t="str">
            <v>TOTAL HARGA (Rp.)</v>
          </cell>
          <cell r="T371" t="str">
            <v>:</v>
          </cell>
          <cell r="U371">
            <v>0</v>
          </cell>
        </row>
        <row r="372">
          <cell r="A372">
            <v>5</v>
          </cell>
          <cell r="C372" t="str">
            <v>Jam kerja efektif per-hari</v>
          </cell>
          <cell r="G372" t="str">
            <v>Tk</v>
          </cell>
          <cell r="H372">
            <v>7</v>
          </cell>
          <cell r="I372" t="str">
            <v>Jam</v>
          </cell>
          <cell r="L372" t="str">
            <v>SATUAN PEMBAYARAN</v>
          </cell>
          <cell r="O372" t="str">
            <v>:  TON</v>
          </cell>
          <cell r="R372" t="str">
            <v>% THD. BIAYA PROYEK</v>
          </cell>
          <cell r="T372" t="str">
            <v>:</v>
          </cell>
          <cell r="U372" t="e">
            <v>#DIV/0!</v>
          </cell>
        </row>
        <row r="373">
          <cell r="A373">
            <v>6</v>
          </cell>
          <cell r="C373" t="str">
            <v>Semen diangkut dari Base Camp ke lapangan</v>
          </cell>
        </row>
        <row r="374">
          <cell r="C374" t="str">
            <v>dengan menggunakan Dump Truck</v>
          </cell>
        </row>
        <row r="375">
          <cell r="A375">
            <v>7</v>
          </cell>
          <cell r="C375" t="str">
            <v>Satu hari dapat diselesaikan hamparan Soil Cement</v>
          </cell>
          <cell r="Q375" t="str">
            <v>PERKIRAAN</v>
          </cell>
          <cell r="R375" t="str">
            <v>HARGA</v>
          </cell>
          <cell r="S375" t="str">
            <v>JUMLAH</v>
          </cell>
        </row>
        <row r="376">
          <cell r="C376" t="str">
            <v>sepanjang</v>
          </cell>
          <cell r="G376" t="str">
            <v>Ls</v>
          </cell>
          <cell r="H376">
            <v>400</v>
          </cell>
          <cell r="I376" t="str">
            <v>M</v>
          </cell>
          <cell r="L376" t="str">
            <v>NO.</v>
          </cell>
          <cell r="N376" t="str">
            <v>KOMPONEN</v>
          </cell>
          <cell r="P376" t="str">
            <v>SATUAN</v>
          </cell>
          <cell r="Q376" t="str">
            <v>KUANTITAS</v>
          </cell>
          <cell r="R376" t="str">
            <v>SATUAN</v>
          </cell>
          <cell r="S376" t="str">
            <v>HARGA</v>
          </cell>
        </row>
        <row r="377">
          <cell r="A377">
            <v>8</v>
          </cell>
          <cell r="C377" t="str">
            <v>Faktor kehilangan bahan</v>
          </cell>
          <cell r="G377" t="str">
            <v>Fh</v>
          </cell>
          <cell r="H377">
            <v>1.05</v>
          </cell>
          <cell r="I377" t="str">
            <v>-</v>
          </cell>
          <cell r="R377" t="str">
            <v>(Rp.)</v>
          </cell>
          <cell r="S377" t="str">
            <v>(Rp.)</v>
          </cell>
        </row>
        <row r="378">
          <cell r="A378">
            <v>9</v>
          </cell>
          <cell r="C378" t="str">
            <v>Tebal hamparan</v>
          </cell>
          <cell r="G378" t="str">
            <v>t</v>
          </cell>
          <cell r="H378">
            <v>0.15</v>
          </cell>
          <cell r="I378" t="str">
            <v>M</v>
          </cell>
        </row>
        <row r="380">
          <cell r="A380" t="str">
            <v>II.</v>
          </cell>
          <cell r="C380" t="str">
            <v>URUTAN KERJA</v>
          </cell>
          <cell r="L380" t="str">
            <v>A.</v>
          </cell>
          <cell r="N380" t="str">
            <v>TENAGA</v>
          </cell>
        </row>
        <row r="381">
          <cell r="A381">
            <v>1</v>
          </cell>
          <cell r="C381" t="str">
            <v>Dump Truck mengangkut semen dari Base Camp</v>
          </cell>
        </row>
        <row r="382">
          <cell r="C382" t="str">
            <v>ke lokasi Pekerjaan</v>
          </cell>
          <cell r="L382" t="str">
            <v>1.</v>
          </cell>
          <cell r="N382" t="str">
            <v>Pekerja</v>
          </cell>
          <cell r="O382" t="str">
            <v>(L01)</v>
          </cell>
          <cell r="P382" t="str">
            <v>Jam</v>
          </cell>
          <cell r="Q382">
            <v>2.4305555555555554</v>
          </cell>
          <cell r="R382">
            <v>2857.14</v>
          </cell>
          <cell r="U382">
            <v>6944.4374999999991</v>
          </cell>
        </row>
        <row r="383">
          <cell r="A383">
            <v>2</v>
          </cell>
          <cell r="C383" t="str">
            <v>Semen diatur/disusun di tempat hamparan</v>
          </cell>
          <cell r="L383" t="str">
            <v>2.</v>
          </cell>
          <cell r="N383" t="str">
            <v>Mandor</v>
          </cell>
          <cell r="O383" t="str">
            <v>(L03)</v>
          </cell>
          <cell r="P383" t="str">
            <v>Jam</v>
          </cell>
          <cell r="Q383">
            <v>0.16203703703703703</v>
          </cell>
          <cell r="R383">
            <v>3214.29</v>
          </cell>
          <cell r="U383">
            <v>520.83402777777781</v>
          </cell>
        </row>
        <row r="384">
          <cell r="C384" t="str">
            <v>soil/tanah oleh tenaga manusia</v>
          </cell>
        </row>
        <row r="386">
          <cell r="A386" t="str">
            <v>III.</v>
          </cell>
          <cell r="C386" t="str">
            <v>PEMAKAIAN BAHAN, ALAT DAN TENAGA</v>
          </cell>
          <cell r="Q386" t="str">
            <v xml:space="preserve">JUMLAH HARGA TENAGA   </v>
          </cell>
          <cell r="U386">
            <v>7465.271527777777</v>
          </cell>
        </row>
        <row r="387">
          <cell r="A387" t="str">
            <v xml:space="preserve">   1.</v>
          </cell>
          <cell r="C387" t="str">
            <v>BAHAN</v>
          </cell>
        </row>
        <row r="388">
          <cell r="C388" t="str">
            <v>Semen yang diperlukan / ton   = (1 x Fh) x 1000</v>
          </cell>
          <cell r="G388" t="str">
            <v>(M12)</v>
          </cell>
          <cell r="H388">
            <v>1050</v>
          </cell>
          <cell r="I388" t="str">
            <v>Kg</v>
          </cell>
          <cell r="L388" t="str">
            <v>B.</v>
          </cell>
          <cell r="N388" t="str">
            <v>BAHAN</v>
          </cell>
        </row>
        <row r="389">
          <cell r="L389" t="str">
            <v>1.</v>
          </cell>
          <cell r="N389" t="str">
            <v>Semen</v>
          </cell>
          <cell r="O389" t="str">
            <v>(M12)</v>
          </cell>
          <cell r="P389" t="str">
            <v>Kg</v>
          </cell>
          <cell r="Q389">
            <v>1050</v>
          </cell>
          <cell r="R389">
            <v>550.92499999999995</v>
          </cell>
          <cell r="U389">
            <v>578471.25</v>
          </cell>
        </row>
        <row r="390">
          <cell r="A390" t="str">
            <v xml:space="preserve">   2.</v>
          </cell>
          <cell r="C390" t="str">
            <v>ALAT</v>
          </cell>
        </row>
        <row r="391">
          <cell r="A391" t="str">
            <v>2.a.</v>
          </cell>
          <cell r="C391" t="str">
            <v>DUMP TRUCK</v>
          </cell>
          <cell r="G391" t="str">
            <v>(E08)</v>
          </cell>
        </row>
        <row r="392">
          <cell r="C392" t="str">
            <v>Kapasitas bak</v>
          </cell>
          <cell r="G392" t="str">
            <v>V</v>
          </cell>
          <cell r="H392">
            <v>10</v>
          </cell>
          <cell r="I392" t="str">
            <v>Ton</v>
          </cell>
        </row>
        <row r="393">
          <cell r="C393" t="str">
            <v>Faktor efisiensi alat</v>
          </cell>
          <cell r="G393" t="str">
            <v>Fa</v>
          </cell>
          <cell r="H393">
            <v>0.83</v>
          </cell>
          <cell r="I393" t="str">
            <v>-</v>
          </cell>
        </row>
        <row r="394">
          <cell r="C394" t="str">
            <v>Kecepatan rata-rata bermuatan</v>
          </cell>
          <cell r="G394" t="str">
            <v>v1</v>
          </cell>
          <cell r="H394">
            <v>45</v>
          </cell>
          <cell r="I394" t="str">
            <v>Km / Jam</v>
          </cell>
        </row>
        <row r="395">
          <cell r="C395" t="str">
            <v>Kecepatan rata-rata kosong</v>
          </cell>
          <cell r="G395" t="str">
            <v>v2</v>
          </cell>
          <cell r="H395">
            <v>60</v>
          </cell>
          <cell r="I395" t="str">
            <v>Km / Jam</v>
          </cell>
        </row>
        <row r="396">
          <cell r="C396" t="str">
            <v>Waktu siklus</v>
          </cell>
          <cell r="G396" t="str">
            <v>Ts1</v>
          </cell>
          <cell r="Q396" t="str">
            <v xml:space="preserve">JUMLAH HARGA BAHAN   </v>
          </cell>
          <cell r="U396">
            <v>578471.25</v>
          </cell>
        </row>
        <row r="397">
          <cell r="C397" t="str">
            <v>- Waktu tempuh isi            = (L : v1) x 60</v>
          </cell>
          <cell r="G397" t="str">
            <v>T1</v>
          </cell>
          <cell r="H397">
            <v>11.633333333333333</v>
          </cell>
          <cell r="I397" t="str">
            <v>menit</v>
          </cell>
        </row>
        <row r="398">
          <cell r="C398" t="str">
            <v>- Waktu tempuh kosong   = (L : v2) x 60</v>
          </cell>
          <cell r="G398" t="str">
            <v>T2</v>
          </cell>
          <cell r="H398">
            <v>8.7249999999999996</v>
          </cell>
          <cell r="I398" t="str">
            <v>menit</v>
          </cell>
          <cell r="L398" t="str">
            <v>C.</v>
          </cell>
          <cell r="N398" t="str">
            <v>PERALATAN</v>
          </cell>
        </row>
        <row r="399">
          <cell r="C399" t="str">
            <v>- Waktu mengisi</v>
          </cell>
          <cell r="G399" t="str">
            <v>T3</v>
          </cell>
          <cell r="H399">
            <v>40</v>
          </cell>
          <cell r="I399" t="str">
            <v>menit</v>
          </cell>
          <cell r="L399" t="str">
            <v>1.</v>
          </cell>
          <cell r="N399" t="str">
            <v>Dump Truck</v>
          </cell>
          <cell r="O399" t="str">
            <v>(E08)</v>
          </cell>
          <cell r="P399" t="str">
            <v>Jam</v>
          </cell>
          <cell r="Q399">
            <v>0.21159889558232936</v>
          </cell>
          <cell r="R399">
            <v>153645.58193291764</v>
          </cell>
          <cell r="U399">
            <v>32511.23544810967</v>
          </cell>
        </row>
        <row r="400">
          <cell r="C400" t="str">
            <v>- Waktu bongkar</v>
          </cell>
          <cell r="G400" t="str">
            <v>T4</v>
          </cell>
          <cell r="H400">
            <v>30</v>
          </cell>
          <cell r="I400" t="str">
            <v>menit</v>
          </cell>
        </row>
        <row r="401">
          <cell r="C401" t="str">
            <v>- Lain-lain</v>
          </cell>
          <cell r="G401" t="str">
            <v>T5</v>
          </cell>
          <cell r="H401">
            <v>10</v>
          </cell>
          <cell r="I401" t="str">
            <v>menit</v>
          </cell>
        </row>
        <row r="402">
          <cell r="G402" t="str">
            <v>Ts1</v>
          </cell>
          <cell r="H402">
            <v>100.35833333333333</v>
          </cell>
          <cell r="I402" t="str">
            <v>menit</v>
          </cell>
        </row>
        <row r="404">
          <cell r="C404" t="str">
            <v>Kap. Prod. / jam =</v>
          </cell>
          <cell r="D404" t="str">
            <v>V x Fa x 60</v>
          </cell>
          <cell r="G404" t="str">
            <v>Q1</v>
          </cell>
          <cell r="H404">
            <v>4.7259225869206762</v>
          </cell>
          <cell r="I404" t="str">
            <v>Ton</v>
          </cell>
        </row>
        <row r="405">
          <cell r="D405" t="str">
            <v xml:space="preserve">   Fh x Ts1</v>
          </cell>
        </row>
        <row r="407">
          <cell r="C407" t="str">
            <v>Koefisien Alat/Ton</v>
          </cell>
          <cell r="D407" t="str">
            <v xml:space="preserve">  =    1 / Q1</v>
          </cell>
          <cell r="G407" t="str">
            <v>(E08)</v>
          </cell>
          <cell r="H407">
            <v>0.21159889558232936</v>
          </cell>
          <cell r="I407" t="str">
            <v>Jam</v>
          </cell>
        </row>
        <row r="408">
          <cell r="Q408" t="str">
            <v xml:space="preserve">JUMLAH HARGA PERALATAN   </v>
          </cell>
          <cell r="U408">
            <v>32511.23544810967</v>
          </cell>
        </row>
        <row r="409">
          <cell r="A409" t="str">
            <v xml:space="preserve">   3.</v>
          </cell>
          <cell r="C409" t="str">
            <v>TENAGA</v>
          </cell>
        </row>
        <row r="410">
          <cell r="C410" t="str">
            <v>Lebar Hamparan Soil Cement</v>
          </cell>
          <cell r="G410" t="str">
            <v>b</v>
          </cell>
          <cell r="H410">
            <v>6</v>
          </cell>
          <cell r="I410" t="str">
            <v>M</v>
          </cell>
          <cell r="L410" t="str">
            <v>D.</v>
          </cell>
          <cell r="N410" t="str">
            <v>JUMLAH HARGA TENAGA, BAHAN DAN PERALATAN  ( A + B + C )</v>
          </cell>
          <cell r="U410">
            <v>618447.75697588746</v>
          </cell>
        </row>
        <row r="411">
          <cell r="C411" t="str">
            <v>Kadar semen  (3 - 12) %</v>
          </cell>
          <cell r="G411" t="str">
            <v>s</v>
          </cell>
          <cell r="H411">
            <v>7.5</v>
          </cell>
          <cell r="I411" t="str">
            <v>%</v>
          </cell>
          <cell r="L411" t="str">
            <v>E.</v>
          </cell>
          <cell r="N411" t="str">
            <v>OVERHEAD &amp; PROFIT</v>
          </cell>
          <cell r="P411">
            <v>10</v>
          </cell>
          <cell r="Q411" t="str">
            <v>%  x  D</v>
          </cell>
          <cell r="U411">
            <v>61844.775697588746</v>
          </cell>
        </row>
        <row r="412">
          <cell r="C412" t="str">
            <v>Berat jenis tanah</v>
          </cell>
          <cell r="G412" t="str">
            <v>Bj</v>
          </cell>
          <cell r="H412">
            <v>1.6</v>
          </cell>
          <cell r="I412" t="str">
            <v>ton / M3</v>
          </cell>
          <cell r="L412" t="str">
            <v>F.</v>
          </cell>
          <cell r="N412" t="str">
            <v>HARGA SATUAN PEKERJAAN  ( D + E )</v>
          </cell>
          <cell r="U412">
            <v>680292.53267347626</v>
          </cell>
        </row>
        <row r="413">
          <cell r="C413" t="str">
            <v>Setiap hari dengan produksi = {(s : 100) x t x b x Ls} x Bj</v>
          </cell>
          <cell r="G413" t="str">
            <v>Qt</v>
          </cell>
          <cell r="H413">
            <v>43.2</v>
          </cell>
          <cell r="I413" t="str">
            <v>Ton</v>
          </cell>
          <cell r="L413" t="str">
            <v>Note: 1</v>
          </cell>
          <cell r="N413" t="str">
            <v>SATUAN dapat berdasarkan atas jam operasi untuk Tenaga Kerja dan Peralatan, volume dan/atau ukuran</v>
          </cell>
        </row>
        <row r="414">
          <cell r="N414" t="str">
            <v>berat untuk bahan-bahan.</v>
          </cell>
        </row>
        <row r="415">
          <cell r="C415" t="str">
            <v>Kebutuhan tenaga :</v>
          </cell>
          <cell r="L415">
            <v>2</v>
          </cell>
          <cell r="N415" t="str">
            <v>Kuantitas satuan adalah kuantitas setiap komponen untuk menyelesaikan satu satuan pekerjaan dari nomor</v>
          </cell>
        </row>
        <row r="416">
          <cell r="D416" t="str">
            <v>- Pekerja</v>
          </cell>
          <cell r="G416" t="str">
            <v>P</v>
          </cell>
          <cell r="H416">
            <v>15</v>
          </cell>
          <cell r="I416" t="str">
            <v>orang</v>
          </cell>
          <cell r="N416" t="str">
            <v>mata pembayaran.</v>
          </cell>
        </row>
        <row r="417">
          <cell r="D417" t="str">
            <v>- Mandor</v>
          </cell>
          <cell r="G417" t="str">
            <v>M</v>
          </cell>
          <cell r="H417">
            <v>1</v>
          </cell>
          <cell r="I417" t="str">
            <v>orang</v>
          </cell>
          <cell r="L417">
            <v>3</v>
          </cell>
          <cell r="N417" t="str">
            <v>Biaya satuan untuk peralatan sudah termasuk bahan bakar, bahan habis dipakai dan operator.</v>
          </cell>
        </row>
        <row r="418">
          <cell r="L418">
            <v>4</v>
          </cell>
          <cell r="N418" t="str">
            <v>Biaya satuan sudah termasuk pengeluaran untuk seluruh pajak yang berkaitan (tetapi tidak termasuk PPN</v>
          </cell>
        </row>
        <row r="419">
          <cell r="J419" t="str">
            <v>Berlanjut ke halaman berikut</v>
          </cell>
          <cell r="N419" t="str">
            <v>yang dibayar dari kontrak) dan biaya-biaya lainnya.</v>
          </cell>
        </row>
        <row r="420">
          <cell r="A420" t="str">
            <v>ITEM PEMBAYARAN NO.</v>
          </cell>
          <cell r="D420" t="str">
            <v>:  4.2 (4)</v>
          </cell>
          <cell r="J420" t="str">
            <v>Analisa EI-424</v>
          </cell>
        </row>
        <row r="421">
          <cell r="A421" t="str">
            <v>JENIS PEKERJAAN</v>
          </cell>
          <cell r="D421" t="str">
            <v>:  SEMEN Utk. Pond. Semen Tanah</v>
          </cell>
        </row>
        <row r="422">
          <cell r="A422" t="str">
            <v>SATUAN PEMBAYARAN</v>
          </cell>
          <cell r="D422" t="str">
            <v>:  TON</v>
          </cell>
          <cell r="J422" t="str">
            <v xml:space="preserve">         URAIAN ANALISA HARGA SATUAN</v>
          </cell>
        </row>
        <row r="423">
          <cell r="J423" t="str">
            <v>Lanjutan</v>
          </cell>
        </row>
        <row r="425">
          <cell r="A425" t="str">
            <v>No.</v>
          </cell>
          <cell r="C425" t="str">
            <v>U R A I A N</v>
          </cell>
          <cell r="G425" t="str">
            <v>KODE</v>
          </cell>
          <cell r="H425" t="str">
            <v>KOEF.</v>
          </cell>
          <cell r="I425" t="str">
            <v>SATUAN</v>
          </cell>
          <cell r="J425" t="str">
            <v>KETERANGAN</v>
          </cell>
        </row>
        <row r="428">
          <cell r="C428" t="str">
            <v>Koefisien tenaga / Ton  :</v>
          </cell>
        </row>
        <row r="429">
          <cell r="D429" t="str">
            <v>- Pekerja</v>
          </cell>
          <cell r="E429" t="str">
            <v>= (Tk x P) : Qt</v>
          </cell>
          <cell r="G429" t="str">
            <v>(L01)</v>
          </cell>
          <cell r="H429">
            <v>2.4305555555555554</v>
          </cell>
          <cell r="I429" t="str">
            <v>Jam</v>
          </cell>
        </row>
        <row r="430">
          <cell r="D430" t="str">
            <v>- Mandor</v>
          </cell>
          <cell r="E430" t="str">
            <v>= (Tk x M) : Qt</v>
          </cell>
          <cell r="G430" t="str">
            <v>(L03)</v>
          </cell>
          <cell r="H430">
            <v>0.16203703703703703</v>
          </cell>
          <cell r="I430" t="str">
            <v>Jam</v>
          </cell>
        </row>
        <row r="433">
          <cell r="A433" t="str">
            <v>4.</v>
          </cell>
          <cell r="C433" t="str">
            <v>HARGA DASAR SATUAN UPAH, BAHAN DAN ALAT</v>
          </cell>
        </row>
        <row r="434">
          <cell r="C434" t="str">
            <v>Lihat lampiran.</v>
          </cell>
        </row>
        <row r="437">
          <cell r="A437" t="str">
            <v>5.</v>
          </cell>
          <cell r="C437" t="str">
            <v>ANALISA HARGA SATUAN PEKERJAAN</v>
          </cell>
        </row>
        <row r="438">
          <cell r="C438" t="str">
            <v>Lihat perhitungan dalam FORMULIR STANDAR UNTUK</v>
          </cell>
        </row>
        <row r="439">
          <cell r="C439" t="str">
            <v>PEREKEMAN ANALISA MASING-MASING HARGA</v>
          </cell>
        </row>
        <row r="440">
          <cell r="C440" t="str">
            <v>SATUAN.</v>
          </cell>
        </row>
        <row r="441">
          <cell r="C441" t="str">
            <v>Didapat Harga Satuan Pekerjaan :</v>
          </cell>
        </row>
        <row r="443">
          <cell r="C443" t="str">
            <v xml:space="preserve">Rp.  </v>
          </cell>
          <cell r="D443">
            <v>680292.53267347626</v>
          </cell>
          <cell r="E443" t="str">
            <v xml:space="preserve"> / Ton</v>
          </cell>
        </row>
        <row r="446">
          <cell r="A446" t="str">
            <v>6.</v>
          </cell>
          <cell r="C446" t="str">
            <v>WAKTU PELAKSANAAN YANG DIPERLUKAN</v>
          </cell>
        </row>
        <row r="447">
          <cell r="C447" t="str">
            <v>Waktu pelaksanaan</v>
          </cell>
          <cell r="D447" t="str">
            <v>:  . . . . . . .  bulan</v>
          </cell>
        </row>
        <row r="449">
          <cell r="A449" t="str">
            <v>7.</v>
          </cell>
          <cell r="C449" t="str">
            <v>VOLUME PEKERJAAN YANG DIPERLUKAN</v>
          </cell>
        </row>
        <row r="450">
          <cell r="C450" t="str">
            <v>Volume pekerjaan  :</v>
          </cell>
          <cell r="D450">
            <v>0</v>
          </cell>
          <cell r="E450" t="str">
            <v>Ton</v>
          </cell>
        </row>
        <row r="479">
          <cell r="A479" t="str">
            <v>ITEM PEMBAYARAN NO.</v>
          </cell>
          <cell r="D479" t="str">
            <v>:  4.2 (3)</v>
          </cell>
          <cell r="J479" t="str">
            <v>Analisa EI-423</v>
          </cell>
          <cell r="T479" t="str">
            <v>Analisa EI-423</v>
          </cell>
        </row>
        <row r="480">
          <cell r="A480" t="str">
            <v>JENIS PEKERJAAN</v>
          </cell>
          <cell r="D480" t="str">
            <v>:  Lapis Pondasi Semen Tanah</v>
          </cell>
        </row>
        <row r="481">
          <cell r="A481" t="str">
            <v>SATUAN PEMBAYARAN</v>
          </cell>
          <cell r="D481" t="str">
            <v>:  M3</v>
          </cell>
          <cell r="J481" t="str">
            <v xml:space="preserve">         URAIAN ANALISA HARGA SATUAN</v>
          </cell>
          <cell r="L481" t="str">
            <v>FORMULIR STANDAR UNTUK</v>
          </cell>
        </row>
        <row r="482">
          <cell r="L482" t="str">
            <v>PEREKAMAN ANALISA MASING-MASING HARGA SATUAN</v>
          </cell>
        </row>
        <row r="483">
          <cell r="L483" t="str">
            <v xml:space="preserve">                                                                                                            </v>
          </cell>
        </row>
        <row r="484">
          <cell r="A484" t="str">
            <v>No.</v>
          </cell>
          <cell r="C484" t="str">
            <v>U R A I A N</v>
          </cell>
          <cell r="G484" t="str">
            <v>KODE</v>
          </cell>
          <cell r="H484" t="str">
            <v>KOEF.</v>
          </cell>
          <cell r="I484" t="str">
            <v>SATUAN</v>
          </cell>
          <cell r="J484" t="str">
            <v>KETERANGAN</v>
          </cell>
        </row>
        <row r="486">
          <cell r="L486" t="str">
            <v>PROYEK</v>
          </cell>
          <cell r="O486" t="str">
            <v>:</v>
          </cell>
        </row>
        <row r="487">
          <cell r="A487" t="str">
            <v>I.</v>
          </cell>
          <cell r="C487" t="str">
            <v>ASUMSI</v>
          </cell>
          <cell r="L487" t="str">
            <v>No. PAKET KONTRAK</v>
          </cell>
          <cell r="O487" t="str">
            <v>:</v>
          </cell>
        </row>
        <row r="488">
          <cell r="A488">
            <v>1</v>
          </cell>
          <cell r="C488" t="str">
            <v>Pekerjaan dilakukan secara mekanik</v>
          </cell>
          <cell r="L488" t="str">
            <v>NAMA PAKET</v>
          </cell>
          <cell r="O488" t="str">
            <v>:</v>
          </cell>
        </row>
        <row r="489">
          <cell r="A489">
            <v>2</v>
          </cell>
          <cell r="C489" t="str">
            <v>Lokasi pekerjaan : sepanjang jalan</v>
          </cell>
          <cell r="L489" t="str">
            <v>PROP / KAB / KODYA</v>
          </cell>
          <cell r="O489" t="str">
            <v>:</v>
          </cell>
        </row>
        <row r="490">
          <cell r="A490">
            <v>3</v>
          </cell>
          <cell r="C490" t="str">
            <v>Kondisi Jalan   :  sedang / baik</v>
          </cell>
          <cell r="L490" t="str">
            <v>ITEM PEMBAYARAN NO.</v>
          </cell>
          <cell r="O490" t="str">
            <v>:  4.2 (3)</v>
          </cell>
          <cell r="R490" t="str">
            <v>PERKIRAAN VOL. PEK.</v>
          </cell>
          <cell r="T490" t="str">
            <v>:</v>
          </cell>
          <cell r="U490">
            <v>0</v>
          </cell>
        </row>
        <row r="491">
          <cell r="A491">
            <v>4</v>
          </cell>
          <cell r="C491" t="str">
            <v>Jarak rata-rata sumber material ke lokasi pekerjaan</v>
          </cell>
          <cell r="G491" t="str">
            <v>L</v>
          </cell>
          <cell r="H491">
            <v>8.7249999999999996</v>
          </cell>
          <cell r="I491" t="str">
            <v>Km</v>
          </cell>
          <cell r="L491" t="str">
            <v>JENIS PEKERJAAN</v>
          </cell>
          <cell r="O491" t="str">
            <v>:  Lapis Pondasi Semen Tanah</v>
          </cell>
          <cell r="R491" t="str">
            <v>TOTAL HARGA (Rp.)</v>
          </cell>
          <cell r="T491" t="str">
            <v>:</v>
          </cell>
          <cell r="U491">
            <v>0</v>
          </cell>
        </row>
        <row r="492">
          <cell r="A492">
            <v>5</v>
          </cell>
          <cell r="C492" t="str">
            <v>Jam kerja efektif per-hari</v>
          </cell>
          <cell r="G492" t="str">
            <v>Tk</v>
          </cell>
          <cell r="H492">
            <v>7</v>
          </cell>
          <cell r="I492" t="str">
            <v>Jam</v>
          </cell>
          <cell r="L492" t="str">
            <v>SATUAN PEMBAYARAN</v>
          </cell>
          <cell r="O492" t="str">
            <v>:  M3</v>
          </cell>
          <cell r="R492" t="str">
            <v>% THD. BIAYA PROYEK</v>
          </cell>
          <cell r="T492" t="str">
            <v>:</v>
          </cell>
          <cell r="U492" t="e">
            <v>#DIV/0!</v>
          </cell>
        </row>
        <row r="493">
          <cell r="A493">
            <v>6</v>
          </cell>
          <cell r="C493" t="str">
            <v>Harga pembayaran tidak termasuk semen ( semen</v>
          </cell>
        </row>
        <row r="494">
          <cell r="C494" t="str">
            <v>dibayar dalam item tersendiri)</v>
          </cell>
        </row>
        <row r="495">
          <cell r="A495">
            <v>7</v>
          </cell>
          <cell r="C495" t="str">
            <v>Satu hari dapat diselesaikan hamparan Soil Cement</v>
          </cell>
          <cell r="Q495" t="str">
            <v>PERKIRAAN</v>
          </cell>
          <cell r="R495" t="str">
            <v>HARGA</v>
          </cell>
          <cell r="S495" t="str">
            <v>JUMLAH</v>
          </cell>
        </row>
        <row r="496">
          <cell r="C496" t="str">
            <v>sepanjang</v>
          </cell>
          <cell r="G496" t="str">
            <v>Ls</v>
          </cell>
          <cell r="H496">
            <v>400</v>
          </cell>
          <cell r="I496" t="str">
            <v>M</v>
          </cell>
          <cell r="L496" t="str">
            <v>NO.</v>
          </cell>
          <cell r="N496" t="str">
            <v>KOMPONEN</v>
          </cell>
          <cell r="P496" t="str">
            <v>SATUAN</v>
          </cell>
          <cell r="Q496" t="str">
            <v>KUANTITAS</v>
          </cell>
          <cell r="R496" t="str">
            <v>SATUAN</v>
          </cell>
          <cell r="S496" t="str">
            <v>HARGA</v>
          </cell>
        </row>
        <row r="497">
          <cell r="A497">
            <v>8</v>
          </cell>
          <cell r="C497" t="str">
            <v>Faktor kembang material (padat - lepas)</v>
          </cell>
          <cell r="G497" t="str">
            <v>Fk</v>
          </cell>
          <cell r="H497">
            <v>1.2</v>
          </cell>
          <cell r="I497" t="str">
            <v>-</v>
          </cell>
          <cell r="R497" t="str">
            <v>(Rp.)</v>
          </cell>
          <cell r="S497" t="str">
            <v>(Rp.)</v>
          </cell>
        </row>
        <row r="498">
          <cell r="A498">
            <v>9</v>
          </cell>
          <cell r="C498" t="str">
            <v>Tebal hamparan padat</v>
          </cell>
          <cell r="G498" t="str">
            <v>t</v>
          </cell>
          <cell r="H498">
            <v>0.15</v>
          </cell>
          <cell r="I498" t="str">
            <v>M</v>
          </cell>
        </row>
        <row r="500">
          <cell r="A500" t="str">
            <v>II.</v>
          </cell>
          <cell r="C500" t="str">
            <v>URUTAN KERJA</v>
          </cell>
          <cell r="L500" t="str">
            <v>A.</v>
          </cell>
          <cell r="N500" t="str">
            <v>TENAGA</v>
          </cell>
        </row>
        <row r="501">
          <cell r="A501">
            <v>1</v>
          </cell>
          <cell r="C501" t="str">
            <v>Whell Loader memuat material ke dalam Dump Truck</v>
          </cell>
        </row>
        <row r="502">
          <cell r="C502" t="str">
            <v>di lokasi sumber bahan</v>
          </cell>
          <cell r="L502" t="str">
            <v>1.</v>
          </cell>
          <cell r="N502" t="str">
            <v>Pekerja</v>
          </cell>
          <cell r="O502" t="str">
            <v>(L01)</v>
          </cell>
          <cell r="P502" t="str">
            <v>Jam</v>
          </cell>
          <cell r="Q502">
            <v>0.12494422132976349</v>
          </cell>
          <cell r="R502">
            <v>2857.14</v>
          </cell>
          <cell r="U502">
            <v>356.98313253012043</v>
          </cell>
        </row>
        <row r="503">
          <cell r="A503">
            <v>2</v>
          </cell>
          <cell r="C503" t="str">
            <v>Dump Truck mengangkut material ke lokasi pekerjaan</v>
          </cell>
          <cell r="L503" t="str">
            <v>2.</v>
          </cell>
          <cell r="N503" t="str">
            <v>Mandor</v>
          </cell>
          <cell r="O503" t="str">
            <v>(L03)</v>
          </cell>
          <cell r="P503" t="str">
            <v>Jam</v>
          </cell>
          <cell r="Q503">
            <v>1.7849174475680501E-2</v>
          </cell>
          <cell r="R503">
            <v>3214.29</v>
          </cell>
          <cell r="U503">
            <v>57.372423025435076</v>
          </cell>
        </row>
        <row r="504">
          <cell r="A504">
            <v>3</v>
          </cell>
          <cell r="C504" t="str">
            <v>Motor Grader menghampar material di lokasi pekerjaan</v>
          </cell>
        </row>
        <row r="505">
          <cell r="A505">
            <v>4</v>
          </cell>
          <cell r="C505" t="str">
            <v>Semen dan material tanah diaduk ditempat dengan</v>
          </cell>
        </row>
        <row r="506">
          <cell r="C506" t="str">
            <v>menggunakan Vulvi Mixer</v>
          </cell>
          <cell r="Q506" t="str">
            <v xml:space="preserve">JUMLAH HARGA TENAGA   </v>
          </cell>
          <cell r="U506">
            <v>414.3555555555555</v>
          </cell>
        </row>
        <row r="507">
          <cell r="A507">
            <v>5</v>
          </cell>
          <cell r="C507" t="str">
            <v>Sebelum pemadatan material dibasahi dengan</v>
          </cell>
        </row>
        <row r="508">
          <cell r="C508" t="str">
            <v>menggunakan Water Tank Truck</v>
          </cell>
          <cell r="L508" t="str">
            <v>B.</v>
          </cell>
          <cell r="N508" t="str">
            <v>BAHAN</v>
          </cell>
        </row>
        <row r="509">
          <cell r="A509">
            <v>6</v>
          </cell>
          <cell r="C509" t="str">
            <v>Pemadatan dilakukan dengan menggunakan</v>
          </cell>
          <cell r="L509" t="str">
            <v>1.</v>
          </cell>
          <cell r="N509" t="str">
            <v>Tanah Timbunan  (M08)</v>
          </cell>
          <cell r="P509" t="str">
            <v>M3</v>
          </cell>
          <cell r="Q509">
            <v>1.2</v>
          </cell>
          <cell r="R509">
            <v>20000</v>
          </cell>
          <cell r="U509">
            <v>24000</v>
          </cell>
        </row>
        <row r="510">
          <cell r="C510" t="str">
            <v>Vibrator Roller dan Pneumatic Tire Roller</v>
          </cell>
        </row>
        <row r="511">
          <cell r="A511">
            <v>7</v>
          </cell>
          <cell r="C511" t="str">
            <v>Selama pelaksanaan pekerjaan sekelompok pekerja</v>
          </cell>
        </row>
        <row r="512">
          <cell r="C512" t="str">
            <v>akan merapikan tepi hamparan dan level permukaan</v>
          </cell>
        </row>
        <row r="513">
          <cell r="C513" t="str">
            <v>dengan menggunakan alat bantu</v>
          </cell>
        </row>
        <row r="515">
          <cell r="A515" t="str">
            <v>III.</v>
          </cell>
          <cell r="C515" t="str">
            <v>PEMAKAIAN BAHAN, ALAT DAN TENAGA</v>
          </cell>
        </row>
        <row r="516">
          <cell r="Q516" t="str">
            <v xml:space="preserve">JUMLAH HARGA BAHAN   </v>
          </cell>
          <cell r="U516">
            <v>24000</v>
          </cell>
        </row>
        <row r="517">
          <cell r="A517" t="str">
            <v>1.</v>
          </cell>
          <cell r="C517" t="str">
            <v>BAHAN</v>
          </cell>
        </row>
        <row r="518">
          <cell r="C518" t="str">
            <v>Setiap M3 Soil Cement padat diperlukan = 1 x Fk</v>
          </cell>
          <cell r="G518" t="str">
            <v>(M08)</v>
          </cell>
          <cell r="H518">
            <v>1.2</v>
          </cell>
          <cell r="I518" t="str">
            <v>M3</v>
          </cell>
          <cell r="L518" t="str">
            <v>C.</v>
          </cell>
          <cell r="N518" t="str">
            <v>PERALATAN</v>
          </cell>
        </row>
        <row r="519">
          <cell r="L519" t="str">
            <v>1.</v>
          </cell>
          <cell r="N519" t="str">
            <v>Wheel Loader</v>
          </cell>
          <cell r="O519" t="str">
            <v>(E15)</v>
          </cell>
          <cell r="P519" t="str">
            <v>Jam</v>
          </cell>
          <cell r="Q519">
            <v>1.7849174475680497E-2</v>
          </cell>
          <cell r="R519">
            <v>163808.13869490434</v>
          </cell>
          <cell r="U519">
            <v>2923.8400481018175</v>
          </cell>
        </row>
        <row r="520">
          <cell r="A520" t="str">
            <v>2.</v>
          </cell>
          <cell r="C520" t="str">
            <v>ALAT</v>
          </cell>
          <cell r="L520" t="str">
            <v>2.</v>
          </cell>
          <cell r="N520" t="str">
            <v>Dump Truck</v>
          </cell>
          <cell r="O520" t="str">
            <v>(E08)</v>
          </cell>
          <cell r="P520" t="str">
            <v>Jam</v>
          </cell>
          <cell r="Q520">
            <v>0.16651888679214849</v>
          </cell>
          <cell r="R520">
            <v>153645.58193291764</v>
          </cell>
          <cell r="U520">
            <v>25584.89126400129</v>
          </cell>
        </row>
        <row r="521">
          <cell r="A521" t="str">
            <v>2.a.</v>
          </cell>
          <cell r="C521" t="str">
            <v>WHEL LOADER</v>
          </cell>
          <cell r="G521" t="str">
            <v>(E15)</v>
          </cell>
          <cell r="L521" t="str">
            <v>3.</v>
          </cell>
          <cell r="N521" t="str">
            <v>Motor Grader</v>
          </cell>
          <cell r="O521" t="str">
            <v>(E13)</v>
          </cell>
          <cell r="P521" t="str">
            <v>Jam</v>
          </cell>
          <cell r="Q521">
            <v>8.3668005354752342E-3</v>
          </cell>
          <cell r="R521">
            <v>201666.62574070093</v>
          </cell>
          <cell r="U521">
            <v>1687.3044322347801</v>
          </cell>
        </row>
        <row r="522">
          <cell r="C522" t="str">
            <v>Kapasitas bucket</v>
          </cell>
          <cell r="G522" t="str">
            <v>V</v>
          </cell>
          <cell r="H522">
            <v>1.5</v>
          </cell>
          <cell r="I522" t="str">
            <v>M3</v>
          </cell>
          <cell r="L522" t="str">
            <v>4.</v>
          </cell>
          <cell r="N522" t="str">
            <v>Tandem Roller</v>
          </cell>
          <cell r="O522" t="str">
            <v>(E17)</v>
          </cell>
          <cell r="P522" t="str">
            <v>Jam</v>
          </cell>
          <cell r="Q522">
            <v>1.7849174475680501E-2</v>
          </cell>
          <cell r="R522">
            <v>293927.19306224468</v>
          </cell>
          <cell r="U522">
            <v>5246.3577521150328</v>
          </cell>
        </row>
        <row r="523">
          <cell r="C523" t="str">
            <v>Faktor bucket</v>
          </cell>
          <cell r="G523" t="str">
            <v>Fb</v>
          </cell>
          <cell r="H523">
            <v>0.9</v>
          </cell>
          <cell r="I523" t="str">
            <v>-</v>
          </cell>
          <cell r="J523" t="str">
            <v>Pemuatan ringan</v>
          </cell>
          <cell r="L523" t="str">
            <v>5.</v>
          </cell>
          <cell r="N523" t="str">
            <v>P. Tyre Roller</v>
          </cell>
          <cell r="O523" t="str">
            <v>(E18)</v>
          </cell>
          <cell r="P523" t="str">
            <v>Jam</v>
          </cell>
          <cell r="Q523">
            <v>8.5676037483266403E-3</v>
          </cell>
          <cell r="R523">
            <v>113384.24751021285</v>
          </cell>
          <cell r="U523">
            <v>971.43130396969514</v>
          </cell>
        </row>
        <row r="524">
          <cell r="C524" t="str">
            <v>Faktor efisiensi alat</v>
          </cell>
          <cell r="G524" t="str">
            <v>Fa</v>
          </cell>
          <cell r="H524">
            <v>0.83</v>
          </cell>
          <cell r="I524" t="str">
            <v>-</v>
          </cell>
          <cell r="L524" t="str">
            <v>6.</v>
          </cell>
          <cell r="N524" t="str">
            <v>Water Tanker</v>
          </cell>
          <cell r="O524" t="str">
            <v>(E23)</v>
          </cell>
          <cell r="P524" t="str">
            <v>Jam</v>
          </cell>
          <cell r="Q524">
            <v>7.0281124497991983E-3</v>
          </cell>
          <cell r="R524">
            <v>67020.510980434308</v>
          </cell>
          <cell r="U524">
            <v>471.02768761349421</v>
          </cell>
        </row>
        <row r="525">
          <cell r="C525" t="str">
            <v>Waktu siklus :</v>
          </cell>
          <cell r="G525" t="str">
            <v>Ts1</v>
          </cell>
          <cell r="L525" t="str">
            <v>7.</v>
          </cell>
          <cell r="N525" t="str">
            <v>Fulvi Mixer</v>
          </cell>
          <cell r="O525" t="str">
            <v>(E27)</v>
          </cell>
          <cell r="P525" t="str">
            <v>Jam</v>
          </cell>
          <cell r="Q525">
            <v>1.9277108433734941E-2</v>
          </cell>
          <cell r="R525">
            <v>559029.00777943374</v>
          </cell>
          <cell r="U525">
            <v>10776.462800567399</v>
          </cell>
        </row>
        <row r="526">
          <cell r="C526" t="str">
            <v>- Muat</v>
          </cell>
          <cell r="G526" t="str">
            <v>T1</v>
          </cell>
          <cell r="H526">
            <v>0.5</v>
          </cell>
          <cell r="I526" t="str">
            <v>menit</v>
          </cell>
          <cell r="L526" t="str">
            <v>8.</v>
          </cell>
          <cell r="N526" t="str">
            <v>Alat Bantu</v>
          </cell>
          <cell r="P526" t="str">
            <v>Ls</v>
          </cell>
          <cell r="Q526">
            <v>1</v>
          </cell>
          <cell r="R526">
            <v>90</v>
          </cell>
          <cell r="U526">
            <v>90</v>
          </cell>
        </row>
        <row r="527">
          <cell r="C527" t="str">
            <v>- Lain-lain</v>
          </cell>
          <cell r="G527" t="str">
            <v>T2</v>
          </cell>
          <cell r="H527">
            <v>0.5</v>
          </cell>
          <cell r="I527" t="str">
            <v>menit</v>
          </cell>
        </row>
        <row r="528">
          <cell r="G528" t="str">
            <v>Ts1</v>
          </cell>
          <cell r="H528">
            <v>1</v>
          </cell>
          <cell r="I528" t="str">
            <v>menit</v>
          </cell>
          <cell r="Q528" t="str">
            <v xml:space="preserve">JUMLAH HARGA PERALATAN   </v>
          </cell>
          <cell r="U528">
            <v>47751.31528860351</v>
          </cell>
        </row>
        <row r="530">
          <cell r="C530" t="str">
            <v>Kap. Prod. / Jam  =</v>
          </cell>
          <cell r="D530" t="str">
            <v>V x Fb x Fa x 60</v>
          </cell>
          <cell r="G530" t="str">
            <v>Q1</v>
          </cell>
          <cell r="H530">
            <v>56.025000000000006</v>
          </cell>
          <cell r="I530" t="str">
            <v>M3</v>
          </cell>
          <cell r="L530" t="str">
            <v>D.</v>
          </cell>
          <cell r="N530" t="str">
            <v>JUMLAH HARGA TENAGA, BAHAN DAN PERALATAN  ( A + B + C )</v>
          </cell>
          <cell r="U530">
            <v>72165.67084415906</v>
          </cell>
        </row>
        <row r="531">
          <cell r="D531" t="str">
            <v>Fk x Ts1</v>
          </cell>
          <cell r="L531" t="str">
            <v>E.</v>
          </cell>
          <cell r="N531" t="str">
            <v>OVERHEAD &amp; PROFIT</v>
          </cell>
          <cell r="P531">
            <v>10</v>
          </cell>
          <cell r="Q531" t="str">
            <v>%  x  D</v>
          </cell>
          <cell r="U531">
            <v>7216.5670844159067</v>
          </cell>
        </row>
        <row r="532">
          <cell r="L532" t="str">
            <v>F.</v>
          </cell>
          <cell r="N532" t="str">
            <v>HARGA SATUAN PEKERJAAN  ( D + E )</v>
          </cell>
          <cell r="U532">
            <v>79382.237928574963</v>
          </cell>
        </row>
        <row r="533">
          <cell r="C533" t="str">
            <v>Koefisien Alat / M3</v>
          </cell>
          <cell r="D533" t="str">
            <v xml:space="preserve"> = 1 / Q1</v>
          </cell>
          <cell r="G533" t="str">
            <v>(E15)</v>
          </cell>
          <cell r="H533">
            <v>1.7849174475680497E-2</v>
          </cell>
          <cell r="I533" t="str">
            <v>Jam</v>
          </cell>
          <cell r="L533" t="str">
            <v>Note: 1</v>
          </cell>
          <cell r="N533" t="str">
            <v>SATUAN dapat berdasarkan atas jam operasi untuk Tenaga Kerja dan Peralatan, volume dan/atau ukuran</v>
          </cell>
        </row>
        <row r="534">
          <cell r="N534" t="str">
            <v>berat untuk bahan-bahan.</v>
          </cell>
        </row>
        <row r="535">
          <cell r="L535">
            <v>2</v>
          </cell>
          <cell r="N535" t="str">
            <v>Kuantitas satuan adalah kuantitas setiap komponen untuk menyelesaikan satu satuan pekerjaan dari nomor</v>
          </cell>
        </row>
        <row r="536">
          <cell r="N536" t="str">
            <v>mata pembayaran.</v>
          </cell>
        </row>
        <row r="537">
          <cell r="L537">
            <v>3</v>
          </cell>
          <cell r="N537" t="str">
            <v>Biaya satuan untuk peralatan sudah termasuk bahan bakar, bahan habis dipakai dan operator.</v>
          </cell>
        </row>
        <row r="538">
          <cell r="L538">
            <v>4</v>
          </cell>
          <cell r="N538" t="str">
            <v>Biaya satuan sudah termasuk pengeluaran untuk seluruh pajak yang berkaitan (tetapi tidak termasuk PPN</v>
          </cell>
        </row>
        <row r="539">
          <cell r="J539" t="str">
            <v>Berlanjut ke halaman berikut</v>
          </cell>
          <cell r="N539" t="str">
            <v>yang dibayar dari kontrak) dan biaya-biaya lainnya.</v>
          </cell>
        </row>
        <row r="540">
          <cell r="A540" t="str">
            <v>ITEM PEMBAYARAN NO.</v>
          </cell>
          <cell r="D540" t="str">
            <v>:  4.2 (3)</v>
          </cell>
          <cell r="J540" t="str">
            <v>Analisa EI-423</v>
          </cell>
        </row>
        <row r="541">
          <cell r="A541" t="str">
            <v>JENIS PEKERJAAN</v>
          </cell>
          <cell r="D541" t="str">
            <v>:  Lapis Pondasi Semen Tanah</v>
          </cell>
        </row>
        <row r="542">
          <cell r="A542" t="str">
            <v>SATUAN PEMBAYARAN</v>
          </cell>
          <cell r="D542" t="str">
            <v>:  M3</v>
          </cell>
          <cell r="J542" t="str">
            <v xml:space="preserve">         URAIAN ANALISA HARGA SATUAN</v>
          </cell>
        </row>
        <row r="543">
          <cell r="J543" t="str">
            <v>Lanjutan</v>
          </cell>
        </row>
        <row r="545">
          <cell r="A545" t="str">
            <v>No.</v>
          </cell>
          <cell r="C545" t="str">
            <v>U R A I A N</v>
          </cell>
          <cell r="G545" t="str">
            <v>KODE</v>
          </cell>
          <cell r="H545" t="str">
            <v>KOEF.</v>
          </cell>
          <cell r="I545" t="str">
            <v>SATUAN</v>
          </cell>
          <cell r="J545" t="str">
            <v>KETERANGAN</v>
          </cell>
        </row>
        <row r="548">
          <cell r="A548" t="str">
            <v>2.b.</v>
          </cell>
          <cell r="C548" t="str">
            <v>DUMP TRUCK</v>
          </cell>
          <cell r="G548" t="str">
            <v>(E08)</v>
          </cell>
        </row>
        <row r="549">
          <cell r="C549" t="str">
            <v>Kapasitas bak</v>
          </cell>
          <cell r="G549" t="str">
            <v>V</v>
          </cell>
          <cell r="H549">
            <v>4</v>
          </cell>
          <cell r="I549" t="str">
            <v>M3</v>
          </cell>
        </row>
        <row r="550">
          <cell r="C550" t="str">
            <v>Faktor efisiensi alat</v>
          </cell>
          <cell r="G550" t="str">
            <v>Fa</v>
          </cell>
          <cell r="H550">
            <v>0.83</v>
          </cell>
          <cell r="I550" t="str">
            <v>-</v>
          </cell>
        </row>
        <row r="551">
          <cell r="C551" t="str">
            <v>Kecepatan rata-rata bermuatan</v>
          </cell>
          <cell r="G551" t="str">
            <v>v1</v>
          </cell>
          <cell r="H551">
            <v>45</v>
          </cell>
          <cell r="I551" t="str">
            <v>Km / Jam</v>
          </cell>
        </row>
        <row r="552">
          <cell r="C552" t="str">
            <v>Kecepatan rata-rata kosong</v>
          </cell>
          <cell r="G552" t="str">
            <v>v2</v>
          </cell>
          <cell r="H552">
            <v>60</v>
          </cell>
          <cell r="I552" t="str">
            <v>Km / Jam</v>
          </cell>
        </row>
        <row r="553">
          <cell r="C553" t="str">
            <v>Waktu Siklus  :  - Waktu memuat = V : Q1 x 60</v>
          </cell>
          <cell r="G553" t="str">
            <v>T1</v>
          </cell>
          <cell r="H553">
            <v>4.283801874163319</v>
          </cell>
          <cell r="I553" t="str">
            <v>menit</v>
          </cell>
        </row>
        <row r="554">
          <cell r="C554" t="str">
            <v>- Waktu tempuh isi          = (L : v1) x 60</v>
          </cell>
          <cell r="G554" t="str">
            <v>T2</v>
          </cell>
          <cell r="H554">
            <v>11.633333333333333</v>
          </cell>
          <cell r="I554" t="str">
            <v>menit</v>
          </cell>
        </row>
        <row r="555">
          <cell r="C555" t="str">
            <v>- Waktu tempuh kosong   = (L : v2) x 60</v>
          </cell>
          <cell r="G555" t="str">
            <v>T3</v>
          </cell>
          <cell r="H555">
            <v>8.7249999999999996</v>
          </cell>
          <cell r="I555" t="str">
            <v>menit</v>
          </cell>
        </row>
        <row r="556">
          <cell r="C556" t="str">
            <v>- Lain-lain</v>
          </cell>
          <cell r="G556" t="str">
            <v>T4</v>
          </cell>
          <cell r="H556">
            <v>3</v>
          </cell>
          <cell r="I556" t="str">
            <v>menit</v>
          </cell>
        </row>
        <row r="557">
          <cell r="G557" t="str">
            <v>Ts2</v>
          </cell>
          <cell r="H557">
            <v>27.642135207496651</v>
          </cell>
          <cell r="I557" t="str">
            <v>menit</v>
          </cell>
        </row>
        <row r="559">
          <cell r="C559" t="str">
            <v>Kapasitas Prod. / jam =</v>
          </cell>
          <cell r="E559" t="str">
            <v>V x Fa x 60</v>
          </cell>
          <cell r="G559" t="str">
            <v>Q2</v>
          </cell>
          <cell r="H559">
            <v>6.0053247968695338</v>
          </cell>
          <cell r="I559" t="str">
            <v>M3</v>
          </cell>
        </row>
        <row r="560">
          <cell r="E560" t="str">
            <v xml:space="preserve">   Fk x Ts2</v>
          </cell>
        </row>
        <row r="562">
          <cell r="C562" t="str">
            <v>Koefisien Alat / M3</v>
          </cell>
          <cell r="D562" t="str">
            <v xml:space="preserve"> =    1 / Q2</v>
          </cell>
          <cell r="G562" t="str">
            <v>(E08)</v>
          </cell>
          <cell r="H562">
            <v>0.16651888679214849</v>
          </cell>
          <cell r="I562" t="str">
            <v>Jam</v>
          </cell>
        </row>
        <row r="564">
          <cell r="A564" t="str">
            <v>2.c.</v>
          </cell>
          <cell r="C564" t="str">
            <v>MOTOR GRADER</v>
          </cell>
          <cell r="G564" t="str">
            <v>(E13)</v>
          </cell>
        </row>
        <row r="565">
          <cell r="C565" t="str">
            <v>Panjang hamparan</v>
          </cell>
          <cell r="G565" t="str">
            <v>Lh</v>
          </cell>
          <cell r="H565">
            <v>100</v>
          </cell>
          <cell r="I565" t="str">
            <v>M</v>
          </cell>
        </row>
        <row r="566">
          <cell r="C566" t="str">
            <v>Lebar efektif kerja blade</v>
          </cell>
          <cell r="G566" t="str">
            <v>b</v>
          </cell>
          <cell r="H566">
            <v>2.4</v>
          </cell>
          <cell r="I566" t="str">
            <v>M</v>
          </cell>
        </row>
        <row r="567">
          <cell r="C567" t="str">
            <v>Faktor efisiensi alat</v>
          </cell>
          <cell r="G567" t="str">
            <v>Fa</v>
          </cell>
          <cell r="H567">
            <v>0.83</v>
          </cell>
          <cell r="I567" t="str">
            <v>-</v>
          </cell>
        </row>
        <row r="568">
          <cell r="C568" t="str">
            <v>Kecepatan rata-rata alat</v>
          </cell>
          <cell r="G568" t="str">
            <v>v</v>
          </cell>
          <cell r="H568">
            <v>4</v>
          </cell>
          <cell r="I568" t="str">
            <v>Km / Jam</v>
          </cell>
        </row>
        <row r="569">
          <cell r="C569" t="str">
            <v>Jumlah lintasan</v>
          </cell>
          <cell r="G569" t="str">
            <v>n</v>
          </cell>
          <cell r="H569">
            <v>6</v>
          </cell>
          <cell r="I569" t="str">
            <v>lintasan</v>
          </cell>
          <cell r="J569" t="str">
            <v>3 x pp</v>
          </cell>
        </row>
        <row r="570">
          <cell r="C570" t="str">
            <v>Waktu siklus</v>
          </cell>
          <cell r="G570" t="str">
            <v>Ts3</v>
          </cell>
        </row>
        <row r="571">
          <cell r="C571" t="str">
            <v>- Perataan 1 lintasan  = Lh : (v x 1000) x 60</v>
          </cell>
          <cell r="G571" t="str">
            <v>T1</v>
          </cell>
          <cell r="H571">
            <v>1.5</v>
          </cell>
          <cell r="I571" t="str">
            <v>menit</v>
          </cell>
        </row>
        <row r="572">
          <cell r="C572" t="str">
            <v>- Lain-lain</v>
          </cell>
          <cell r="G572" t="str">
            <v>T2</v>
          </cell>
          <cell r="H572">
            <v>1</v>
          </cell>
          <cell r="I572" t="str">
            <v>menit</v>
          </cell>
        </row>
        <row r="573">
          <cell r="G573" t="str">
            <v>Ts3</v>
          </cell>
          <cell r="H573">
            <v>2.5</v>
          </cell>
          <cell r="I573" t="str">
            <v>menit</v>
          </cell>
        </row>
        <row r="575">
          <cell r="C575" t="str">
            <v>Kap. Prod. / Jam  =</v>
          </cell>
          <cell r="D575" t="str">
            <v>Lh x b x t x Fa x 60</v>
          </cell>
          <cell r="G575" t="str">
            <v>Q3</v>
          </cell>
          <cell r="H575">
            <v>119.52</v>
          </cell>
          <cell r="I575" t="str">
            <v>M3</v>
          </cell>
        </row>
        <row r="576">
          <cell r="D576" t="str">
            <v>n x Ts3</v>
          </cell>
        </row>
        <row r="578">
          <cell r="C578" t="str">
            <v>Koefisien Alat / M3</v>
          </cell>
          <cell r="D578" t="str">
            <v xml:space="preserve"> =  1 / Q3</v>
          </cell>
          <cell r="G578" t="str">
            <v>(E13)</v>
          </cell>
          <cell r="H578">
            <v>8.3668005354752342E-3</v>
          </cell>
          <cell r="I578" t="str">
            <v>jam</v>
          </cell>
        </row>
        <row r="580">
          <cell r="A580" t="str">
            <v>2.d.</v>
          </cell>
          <cell r="C580" t="str">
            <v>TANDEM ROLLER</v>
          </cell>
          <cell r="G580" t="str">
            <v>(E19)</v>
          </cell>
        </row>
        <row r="581">
          <cell r="C581" t="str">
            <v>Kecepatan rata-rata alat</v>
          </cell>
          <cell r="G581" t="str">
            <v>v</v>
          </cell>
          <cell r="H581">
            <v>3</v>
          </cell>
          <cell r="I581" t="str">
            <v>Km / Jam</v>
          </cell>
        </row>
        <row r="582">
          <cell r="C582" t="str">
            <v>Lebar efektif pemadatan</v>
          </cell>
          <cell r="G582" t="str">
            <v>b</v>
          </cell>
          <cell r="H582">
            <v>1.2</v>
          </cell>
          <cell r="I582" t="str">
            <v>M</v>
          </cell>
        </row>
        <row r="583">
          <cell r="C583" t="str">
            <v>Jumlah lintasan</v>
          </cell>
          <cell r="G583" t="str">
            <v>n</v>
          </cell>
          <cell r="H583">
            <v>8</v>
          </cell>
          <cell r="I583" t="str">
            <v>lintasan</v>
          </cell>
          <cell r="J583" t="str">
            <v>4 x pp</v>
          </cell>
        </row>
        <row r="584">
          <cell r="C584" t="str">
            <v>Faktor efisiensi alat</v>
          </cell>
          <cell r="G584" t="str">
            <v>Fa</v>
          </cell>
          <cell r="H584">
            <v>0.83</v>
          </cell>
          <cell r="I584" t="str">
            <v>-</v>
          </cell>
        </row>
        <row r="586">
          <cell r="C586" t="str">
            <v xml:space="preserve">Kap. Prod. / Jam = </v>
          </cell>
          <cell r="D586" t="str">
            <v>(v x 1000) x b x t x Fa</v>
          </cell>
          <cell r="G586" t="str">
            <v>Q4</v>
          </cell>
          <cell r="H586">
            <v>56.024999999999999</v>
          </cell>
          <cell r="I586" t="str">
            <v>M3</v>
          </cell>
        </row>
        <row r="587">
          <cell r="D587" t="str">
            <v>n</v>
          </cell>
        </row>
        <row r="589">
          <cell r="C589" t="str">
            <v>Koefisien Alat / M3</v>
          </cell>
          <cell r="D589" t="str">
            <v xml:space="preserve"> = 1/ Q4</v>
          </cell>
          <cell r="G589" t="str">
            <v>(E19)</v>
          </cell>
          <cell r="H589">
            <v>1.7849174475680501E-2</v>
          </cell>
          <cell r="I589" t="str">
            <v>Jam</v>
          </cell>
        </row>
        <row r="591">
          <cell r="A591" t="str">
            <v>2.e.</v>
          </cell>
          <cell r="C591" t="str">
            <v>PNEUMATIC TIRE ROLLER</v>
          </cell>
          <cell r="G591" t="str">
            <v>(E18)</v>
          </cell>
        </row>
        <row r="592">
          <cell r="C592" t="str">
            <v>Kecepatan rata-rata alat</v>
          </cell>
          <cell r="G592" t="str">
            <v>v</v>
          </cell>
          <cell r="H592">
            <v>5</v>
          </cell>
          <cell r="I592" t="str">
            <v>Km / Jam</v>
          </cell>
        </row>
        <row r="593">
          <cell r="C593" t="str">
            <v>Lebar efektif pemadatan</v>
          </cell>
          <cell r="G593" t="str">
            <v>b</v>
          </cell>
          <cell r="H593">
            <v>1.5</v>
          </cell>
          <cell r="I593" t="str">
            <v>M</v>
          </cell>
        </row>
        <row r="594">
          <cell r="C594" t="str">
            <v>Jumlah lintasan</v>
          </cell>
          <cell r="G594" t="str">
            <v>n</v>
          </cell>
          <cell r="H594">
            <v>8</v>
          </cell>
          <cell r="I594" t="str">
            <v>lintasan</v>
          </cell>
          <cell r="J594" t="str">
            <v>4 x pp</v>
          </cell>
        </row>
        <row r="595">
          <cell r="C595" t="str">
            <v>Faktor efisiensi alat</v>
          </cell>
          <cell r="G595" t="str">
            <v>Fa</v>
          </cell>
          <cell r="H595">
            <v>0.83</v>
          </cell>
          <cell r="I595" t="str">
            <v>-</v>
          </cell>
        </row>
        <row r="598">
          <cell r="J598" t="str">
            <v>Berlanjut ke halaman berikut</v>
          </cell>
        </row>
        <row r="599">
          <cell r="A599" t="str">
            <v>ITEM PEMBAYARAN NO.</v>
          </cell>
          <cell r="D599" t="str">
            <v>:  4.2 (3)</v>
          </cell>
          <cell r="J599" t="str">
            <v>Analisa EI-423</v>
          </cell>
        </row>
        <row r="600">
          <cell r="A600" t="str">
            <v>JENIS PEKERJAAN</v>
          </cell>
          <cell r="D600" t="str">
            <v>:  Lapis Pondasi Semen Tanah</v>
          </cell>
        </row>
        <row r="601">
          <cell r="A601" t="str">
            <v>SATUAN PEMBAYARAN</v>
          </cell>
          <cell r="D601" t="str">
            <v>:  M3</v>
          </cell>
          <cell r="J601" t="str">
            <v xml:space="preserve">         URAIAN ANALISA HARGA SATUAN</v>
          </cell>
        </row>
        <row r="602">
          <cell r="J602" t="str">
            <v>Lanjutan</v>
          </cell>
        </row>
        <row r="604">
          <cell r="A604" t="str">
            <v>No.</v>
          </cell>
          <cell r="C604" t="str">
            <v>U R A I A N</v>
          </cell>
          <cell r="G604" t="str">
            <v>KODE</v>
          </cell>
          <cell r="H604" t="str">
            <v>KOEF.</v>
          </cell>
          <cell r="I604" t="str">
            <v>SATUAN</v>
          </cell>
          <cell r="J604" t="str">
            <v>KETERANGAN</v>
          </cell>
        </row>
        <row r="607">
          <cell r="C607" t="str">
            <v xml:space="preserve">Kap. Prod. / Jam = </v>
          </cell>
          <cell r="D607" t="str">
            <v>(v x 1000) x b x t x Fa</v>
          </cell>
          <cell r="G607" t="str">
            <v>Q5</v>
          </cell>
          <cell r="H607">
            <v>116.71875</v>
          </cell>
          <cell r="I607" t="str">
            <v>M3</v>
          </cell>
        </row>
        <row r="608">
          <cell r="D608" t="str">
            <v>n</v>
          </cell>
        </row>
        <row r="610">
          <cell r="C610" t="str">
            <v>Koefisien Alat / M3</v>
          </cell>
          <cell r="D610" t="str">
            <v xml:space="preserve"> = 1 / Q5</v>
          </cell>
          <cell r="G610" t="str">
            <v>(E18)</v>
          </cell>
          <cell r="H610">
            <v>8.5676037483266403E-3</v>
          </cell>
          <cell r="I610" t="str">
            <v>Jam</v>
          </cell>
        </row>
        <row r="612">
          <cell r="A612" t="str">
            <v>2.e.</v>
          </cell>
          <cell r="C612" t="str">
            <v>WATER TANK TRUCK</v>
          </cell>
          <cell r="G612" t="str">
            <v>(E23)</v>
          </cell>
        </row>
        <row r="613">
          <cell r="C613" t="str">
            <v>Volume Tangki air</v>
          </cell>
          <cell r="G613" t="str">
            <v>V</v>
          </cell>
          <cell r="H613">
            <v>4</v>
          </cell>
          <cell r="I613" t="str">
            <v>M3</v>
          </cell>
        </row>
        <row r="614">
          <cell r="C614" t="str">
            <v>Kebutuhan air / M3 material padat</v>
          </cell>
          <cell r="G614" t="str">
            <v>Wc</v>
          </cell>
          <cell r="H614">
            <v>7.0000000000000007E-2</v>
          </cell>
          <cell r="I614" t="str">
            <v>M3</v>
          </cell>
        </row>
        <row r="615">
          <cell r="C615" t="str">
            <v>Pengisian tanhgki / jam</v>
          </cell>
          <cell r="G615" t="str">
            <v>n</v>
          </cell>
          <cell r="H615">
            <v>3</v>
          </cell>
          <cell r="I615" t="str">
            <v>kali</v>
          </cell>
        </row>
        <row r="616">
          <cell r="C616" t="str">
            <v>Faktor efisiensi alat</v>
          </cell>
          <cell r="G616" t="str">
            <v>Fa</v>
          </cell>
          <cell r="H616">
            <v>0.83</v>
          </cell>
          <cell r="I616" t="str">
            <v>-</v>
          </cell>
        </row>
        <row r="618">
          <cell r="C618" t="str">
            <v>Kap. Prod. / Jam  =</v>
          </cell>
          <cell r="D618" t="str">
            <v>V x n x Fa</v>
          </cell>
          <cell r="G618" t="str">
            <v>Q6</v>
          </cell>
          <cell r="H618">
            <v>142.28571428571425</v>
          </cell>
          <cell r="I618" t="str">
            <v>M3</v>
          </cell>
        </row>
        <row r="619">
          <cell r="D619" t="str">
            <v>Wc</v>
          </cell>
        </row>
        <row r="621">
          <cell r="C621" t="str">
            <v>Koefisien Alat / M3</v>
          </cell>
          <cell r="D621" t="str">
            <v xml:space="preserve">  = 1 / Q6</v>
          </cell>
          <cell r="G621" t="str">
            <v>(E23)</v>
          </cell>
          <cell r="H621">
            <v>7.0281124497991983E-3</v>
          </cell>
          <cell r="I621" t="str">
            <v>Jam</v>
          </cell>
        </row>
        <row r="623">
          <cell r="A623" t="str">
            <v>2.f.</v>
          </cell>
          <cell r="C623" t="str">
            <v>FULVI MIXER</v>
          </cell>
          <cell r="G623" t="str">
            <v>(E27)</v>
          </cell>
        </row>
        <row r="624">
          <cell r="C624" t="str">
            <v>Kecepatan rata-rata alat</v>
          </cell>
          <cell r="G624" t="str">
            <v>v</v>
          </cell>
          <cell r="H624">
            <v>2.5</v>
          </cell>
          <cell r="I624" t="str">
            <v>Km / Jam</v>
          </cell>
        </row>
        <row r="625">
          <cell r="C625" t="str">
            <v>Lebar efektif pemadatan</v>
          </cell>
          <cell r="G625" t="str">
            <v>b</v>
          </cell>
          <cell r="H625">
            <v>1</v>
          </cell>
          <cell r="I625" t="str">
            <v>M</v>
          </cell>
        </row>
        <row r="626">
          <cell r="C626" t="str">
            <v>Jumlah lintasan</v>
          </cell>
          <cell r="G626" t="str">
            <v>n</v>
          </cell>
          <cell r="H626">
            <v>6</v>
          </cell>
          <cell r="I626" t="str">
            <v>lintasan</v>
          </cell>
          <cell r="J626" t="str">
            <v>3 x pp</v>
          </cell>
        </row>
        <row r="627">
          <cell r="C627" t="str">
            <v>Faktor efisiensi alat</v>
          </cell>
          <cell r="G627" t="str">
            <v>Fa</v>
          </cell>
          <cell r="H627">
            <v>0.83</v>
          </cell>
          <cell r="I627" t="str">
            <v>-</v>
          </cell>
        </row>
        <row r="629">
          <cell r="C629" t="str">
            <v xml:space="preserve">Kap. Prod. / Jam = </v>
          </cell>
          <cell r="D629" t="str">
            <v>(v x 1000) x b x t x Fa</v>
          </cell>
          <cell r="G629" t="str">
            <v>Q7</v>
          </cell>
          <cell r="H629">
            <v>51.875</v>
          </cell>
          <cell r="I629" t="str">
            <v>M3</v>
          </cell>
        </row>
        <row r="630">
          <cell r="D630" t="str">
            <v>n</v>
          </cell>
        </row>
        <row r="632">
          <cell r="C632" t="str">
            <v>Koefisien Alat / M3</v>
          </cell>
          <cell r="D632" t="str">
            <v xml:space="preserve">  = 1 / Q7</v>
          </cell>
          <cell r="G632" t="str">
            <v>(E27)</v>
          </cell>
          <cell r="H632">
            <v>1.9277108433734941E-2</v>
          </cell>
          <cell r="I632" t="str">
            <v>Jam</v>
          </cell>
        </row>
        <row r="634">
          <cell r="A634" t="str">
            <v>2.g.</v>
          </cell>
          <cell r="C634" t="str">
            <v>ALAT BANTU</v>
          </cell>
        </row>
        <row r="635">
          <cell r="C635" t="str">
            <v>Diperlukan :</v>
          </cell>
          <cell r="J635" t="str">
            <v>Lump Sump</v>
          </cell>
        </row>
        <row r="636">
          <cell r="C636" t="str">
            <v>- Kereta dorong  = 2 buah</v>
          </cell>
        </row>
        <row r="637">
          <cell r="C637" t="str">
            <v>- Sekop             = 3 buah</v>
          </cell>
        </row>
        <row r="639">
          <cell r="A639" t="str">
            <v>3.</v>
          </cell>
          <cell r="C639" t="str">
            <v>TENAGA</v>
          </cell>
        </row>
        <row r="640">
          <cell r="C640" t="str">
            <v>Produksi menetukan : VIBRATOR ROLLER</v>
          </cell>
          <cell r="G640" t="str">
            <v>Q4</v>
          </cell>
          <cell r="H640">
            <v>56.024999999999999</v>
          </cell>
          <cell r="I640" t="str">
            <v>M3/Jam</v>
          </cell>
        </row>
        <row r="641">
          <cell r="C641" t="str">
            <v>Produksi Soil Cement / hari  = Tk x Q4</v>
          </cell>
          <cell r="G641" t="str">
            <v>Qt</v>
          </cell>
          <cell r="H641">
            <v>392.17500000000001</v>
          </cell>
          <cell r="I641" t="str">
            <v>M3</v>
          </cell>
        </row>
        <row r="642">
          <cell r="C642" t="str">
            <v>Kebutuhan tenaga  :</v>
          </cell>
        </row>
        <row r="643">
          <cell r="D643" t="str">
            <v>- Pekerja</v>
          </cell>
          <cell r="G643" t="str">
            <v>P</v>
          </cell>
          <cell r="H643">
            <v>7</v>
          </cell>
          <cell r="I643" t="str">
            <v>orang</v>
          </cell>
        </row>
        <row r="644">
          <cell r="D644" t="str">
            <v>- Mandor</v>
          </cell>
          <cell r="G644" t="str">
            <v>M</v>
          </cell>
          <cell r="H644">
            <v>1</v>
          </cell>
          <cell r="I644" t="str">
            <v>orang</v>
          </cell>
        </row>
        <row r="646">
          <cell r="C646" t="str">
            <v>Koefisien tenaga / M3  :</v>
          </cell>
        </row>
        <row r="647">
          <cell r="D647" t="str">
            <v>- Pekerja</v>
          </cell>
          <cell r="E647" t="str">
            <v xml:space="preserve">  = (Tk x P) : Qt</v>
          </cell>
          <cell r="G647" t="str">
            <v>(L01)</v>
          </cell>
          <cell r="H647">
            <v>0.12494422132976349</v>
          </cell>
          <cell r="I647" t="str">
            <v>Jam</v>
          </cell>
        </row>
        <row r="648">
          <cell r="D648" t="str">
            <v>- Mandor</v>
          </cell>
          <cell r="E648" t="str">
            <v xml:space="preserve">  = (Tk x M) : Qt</v>
          </cell>
          <cell r="G648" t="str">
            <v>(L03)</v>
          </cell>
          <cell r="H648">
            <v>1.7849174475680501E-2</v>
          </cell>
          <cell r="I648" t="str">
            <v>Jam</v>
          </cell>
        </row>
        <row r="657">
          <cell r="J657" t="str">
            <v>Berlanjut ke halaman berikut</v>
          </cell>
        </row>
        <row r="658">
          <cell r="A658" t="str">
            <v>ITEM PEMBAYARAN NO.</v>
          </cell>
          <cell r="D658" t="str">
            <v>:  4.2 (3)</v>
          </cell>
          <cell r="J658" t="str">
            <v>Analisa EI-423</v>
          </cell>
        </row>
        <row r="659">
          <cell r="A659" t="str">
            <v>JENIS PEKERJAAN</v>
          </cell>
          <cell r="D659" t="str">
            <v>:  Lapis Pondasi Semen Tanah</v>
          </cell>
        </row>
        <row r="660">
          <cell r="A660" t="str">
            <v>SATUAN PEMBAYARAN</v>
          </cell>
          <cell r="D660" t="str">
            <v>:  M3</v>
          </cell>
          <cell r="J660" t="str">
            <v xml:space="preserve">         URAIAN ANALISA HARGA SATUAN</v>
          </cell>
        </row>
        <row r="661">
          <cell r="J661" t="str">
            <v>Lanjutan</v>
          </cell>
        </row>
        <row r="663">
          <cell r="A663" t="str">
            <v>No.</v>
          </cell>
          <cell r="C663" t="str">
            <v>U R A I A N</v>
          </cell>
          <cell r="G663" t="str">
            <v>KODE</v>
          </cell>
          <cell r="H663" t="str">
            <v>KOEF.</v>
          </cell>
          <cell r="I663" t="str">
            <v>SATUAN</v>
          </cell>
          <cell r="J663" t="str">
            <v>KETERANGAN</v>
          </cell>
        </row>
        <row r="666">
          <cell r="A666" t="str">
            <v>4.</v>
          </cell>
          <cell r="C666" t="str">
            <v>HARGA DASAR SATUAN UPAH, BAHAN DAN ALAT</v>
          </cell>
        </row>
        <row r="667">
          <cell r="C667" t="str">
            <v>Lihat lampiran.</v>
          </cell>
        </row>
        <row r="670">
          <cell r="A670" t="str">
            <v>5.</v>
          </cell>
          <cell r="C670" t="str">
            <v>ANALISA HARGA SATUAN PEKERJAAN</v>
          </cell>
        </row>
        <row r="671">
          <cell r="C671" t="str">
            <v>Lihat perhitungan dalam FORMULIR STANDAR UNTUK</v>
          </cell>
        </row>
        <row r="672">
          <cell r="C672" t="str">
            <v>PEREKEMAN ANALISA MASING-MASING HARGA</v>
          </cell>
        </row>
        <row r="673">
          <cell r="C673" t="str">
            <v>SATUAN.</v>
          </cell>
        </row>
        <row r="674">
          <cell r="C674" t="str">
            <v>Didapat Harga Satuan Pekerjaan :</v>
          </cell>
        </row>
        <row r="676">
          <cell r="C676" t="str">
            <v xml:space="preserve">Rp.  </v>
          </cell>
          <cell r="D676">
            <v>79382.237928574963</v>
          </cell>
          <cell r="E676" t="str">
            <v xml:space="preserve"> / M3</v>
          </cell>
        </row>
        <row r="679">
          <cell r="A679" t="str">
            <v>6.</v>
          </cell>
          <cell r="C679" t="str">
            <v>WAKTU PELAKSANAAN YANG DIPERLUKAN</v>
          </cell>
        </row>
        <row r="680">
          <cell r="C680" t="str">
            <v>Waktu pelaksanaan</v>
          </cell>
          <cell r="D680" t="str">
            <v>:  . . . . . . .  bulan</v>
          </cell>
        </row>
        <row r="682">
          <cell r="A682" t="str">
            <v>7.</v>
          </cell>
          <cell r="C682" t="str">
            <v>VOLUME PEKERJAAN YANG DIPERLUKAN</v>
          </cell>
        </row>
        <row r="683">
          <cell r="C683" t="str">
            <v>Volume pekerjaan  :</v>
          </cell>
          <cell r="D683">
            <v>0</v>
          </cell>
          <cell r="E683" t="str">
            <v>M3</v>
          </cell>
        </row>
        <row r="897">
          <cell r="A897" t="str">
            <v>ITEM PEMBAYARAN NO.</v>
          </cell>
          <cell r="D897" t="str">
            <v>:  4.2 (6)</v>
          </cell>
          <cell r="J897" t="str">
            <v>Analisa EI-426</v>
          </cell>
          <cell r="T897" t="str">
            <v>Analisa EI-426</v>
          </cell>
        </row>
        <row r="898">
          <cell r="A898" t="str">
            <v>JENIS PEKERJAAN</v>
          </cell>
          <cell r="D898" t="str">
            <v>:  Aspal Utk. Pekerjaan Pelaburan</v>
          </cell>
        </row>
        <row r="899">
          <cell r="A899" t="str">
            <v>SATUAN PEMBAYARAN</v>
          </cell>
          <cell r="D899" t="str">
            <v>:  LITER</v>
          </cell>
          <cell r="J899" t="str">
            <v xml:space="preserve">         URAIAN ANALISA HARGA SATUAN</v>
          </cell>
          <cell r="L899" t="str">
            <v>FORMULIR STANDAR UNTUK</v>
          </cell>
        </row>
        <row r="900">
          <cell r="L900" t="str">
            <v>PEREKAMAN ANALISA MASING-MASING HARGA SATUAN</v>
          </cell>
        </row>
        <row r="901">
          <cell r="L901" t="str">
            <v xml:space="preserve">                                                                                                            </v>
          </cell>
        </row>
        <row r="902">
          <cell r="A902" t="str">
            <v>No.</v>
          </cell>
          <cell r="C902" t="str">
            <v>U R A I A N</v>
          </cell>
          <cell r="G902" t="str">
            <v>KODE</v>
          </cell>
          <cell r="H902" t="str">
            <v>KOEF.</v>
          </cell>
          <cell r="I902" t="str">
            <v>SATUAN</v>
          </cell>
          <cell r="J902" t="str">
            <v>KETERANGAN</v>
          </cell>
        </row>
        <row r="904">
          <cell r="L904" t="str">
            <v>PROYEK</v>
          </cell>
          <cell r="O904" t="str">
            <v>:</v>
          </cell>
        </row>
        <row r="905">
          <cell r="A905" t="str">
            <v>I.</v>
          </cell>
          <cell r="C905" t="str">
            <v>ASUMSI</v>
          </cell>
          <cell r="L905" t="str">
            <v>No. PAKET KONTRAK</v>
          </cell>
          <cell r="O905" t="str">
            <v>:</v>
          </cell>
        </row>
        <row r="906">
          <cell r="A906">
            <v>1</v>
          </cell>
          <cell r="C906" t="str">
            <v>Menggunakan alat berat (cara mekanik)</v>
          </cell>
          <cell r="L906" t="str">
            <v>NAMA PAKET</v>
          </cell>
          <cell r="O906" t="str">
            <v>:</v>
          </cell>
        </row>
        <row r="907">
          <cell r="A907">
            <v>2</v>
          </cell>
          <cell r="C907" t="str">
            <v>Lokasi pekerjaan : sepanjang jalan</v>
          </cell>
          <cell r="L907" t="str">
            <v>PROP / KAB / KODYA</v>
          </cell>
          <cell r="O907" t="str">
            <v>:</v>
          </cell>
        </row>
        <row r="908">
          <cell r="A908">
            <v>3</v>
          </cell>
          <cell r="C908" t="str">
            <v>Jarak rata-rata Base Camp ke lokasi pekerjaan</v>
          </cell>
          <cell r="G908" t="str">
            <v>L</v>
          </cell>
          <cell r="H908">
            <v>8.7249999999999996</v>
          </cell>
          <cell r="I908" t="str">
            <v>KM</v>
          </cell>
          <cell r="L908" t="str">
            <v>ITEM PEMBAYARAN NO.</v>
          </cell>
          <cell r="O908" t="str">
            <v>:  4.2 (6)</v>
          </cell>
          <cell r="R908" t="str">
            <v>PERKIRAAN VOL. PEK.</v>
          </cell>
          <cell r="T908" t="str">
            <v>:</v>
          </cell>
          <cell r="U908">
            <v>0</v>
          </cell>
        </row>
        <row r="909">
          <cell r="A909">
            <v>4</v>
          </cell>
          <cell r="C909" t="str">
            <v>Jam kerja efektif per-hari</v>
          </cell>
          <cell r="G909" t="str">
            <v>Tk</v>
          </cell>
          <cell r="H909">
            <v>7</v>
          </cell>
          <cell r="I909" t="str">
            <v>Jam</v>
          </cell>
          <cell r="L909" t="str">
            <v>JENIS PEKERJAAN</v>
          </cell>
          <cell r="O909" t="str">
            <v>:  Aspal Utk. Pekerjaan Pelaburan</v>
          </cell>
          <cell r="R909" t="str">
            <v>TOTAL HARGA (Rp.)</v>
          </cell>
          <cell r="T909" t="str">
            <v>:</v>
          </cell>
          <cell r="U909">
            <v>0</v>
          </cell>
        </row>
        <row r="910">
          <cell r="A910">
            <v>5</v>
          </cell>
          <cell r="C910" t="str">
            <v>Faktor kehilangan bahan</v>
          </cell>
          <cell r="G910" t="str">
            <v>Fh</v>
          </cell>
          <cell r="H910">
            <v>1.1000000000000001</v>
          </cell>
          <cell r="I910" t="str">
            <v>-</v>
          </cell>
          <cell r="L910" t="str">
            <v>SATUAN PEMBAYARAN</v>
          </cell>
          <cell r="O910" t="str">
            <v>:  LITER</v>
          </cell>
          <cell r="R910" t="str">
            <v>% THD. BIAYA PROYEK</v>
          </cell>
          <cell r="T910" t="str">
            <v>:</v>
          </cell>
          <cell r="U910" t="e">
            <v>#DIV/0!</v>
          </cell>
        </row>
        <row r="911">
          <cell r="A911">
            <v>6</v>
          </cell>
          <cell r="C911" t="str">
            <v>Komposisi campuran  :</v>
          </cell>
        </row>
        <row r="912">
          <cell r="A912" t="str">
            <v xml:space="preserve"> </v>
          </cell>
          <cell r="C912" t="str">
            <v>- Aspal AC - 10 atau AC - 20</v>
          </cell>
          <cell r="G912" t="str">
            <v>As</v>
          </cell>
          <cell r="H912">
            <v>95.238095238095227</v>
          </cell>
          <cell r="I912" t="str">
            <v>%</v>
          </cell>
          <cell r="J912" t="str">
            <v>100 bagian</v>
          </cell>
        </row>
        <row r="913">
          <cell r="A913" t="str">
            <v xml:space="preserve"> </v>
          </cell>
          <cell r="C913" t="str">
            <v>- Minyak Tanah / Pencair</v>
          </cell>
          <cell r="G913" t="str">
            <v>K</v>
          </cell>
          <cell r="H913">
            <v>4.7619047619047734</v>
          </cell>
          <cell r="I913" t="str">
            <v>%</v>
          </cell>
          <cell r="J913" t="str">
            <v>5 bagian</v>
          </cell>
          <cell r="Q913" t="str">
            <v>PERKIRAAN</v>
          </cell>
          <cell r="R913" t="str">
            <v>HARGA</v>
          </cell>
          <cell r="S913" t="str">
            <v>JUMLAH</v>
          </cell>
        </row>
        <row r="914">
          <cell r="A914">
            <v>7</v>
          </cell>
          <cell r="C914" t="str">
            <v>Berat jenis bahan  :</v>
          </cell>
          <cell r="L914" t="str">
            <v>NO.</v>
          </cell>
          <cell r="N914" t="str">
            <v>KOMPONEN</v>
          </cell>
          <cell r="P914" t="str">
            <v>SATUAN</v>
          </cell>
          <cell r="Q914" t="str">
            <v>KUANTITAS</v>
          </cell>
          <cell r="R914" t="str">
            <v>SATUAN</v>
          </cell>
          <cell r="S914" t="str">
            <v>HARGA</v>
          </cell>
        </row>
        <row r="915">
          <cell r="C915" t="str">
            <v>- Aspal AC - 10 atau AC - 20</v>
          </cell>
          <cell r="G915" t="str">
            <v>D1</v>
          </cell>
          <cell r="H915">
            <v>1.05</v>
          </cell>
          <cell r="I915" t="str">
            <v>Kg / Ltr</v>
          </cell>
          <cell r="R915" t="str">
            <v>(Rp.)</v>
          </cell>
          <cell r="S915" t="str">
            <v>(Rp.)</v>
          </cell>
        </row>
        <row r="916">
          <cell r="C916" t="str">
            <v>- Minyak Tanah / Pencair</v>
          </cell>
          <cell r="G916" t="str">
            <v>D2</v>
          </cell>
          <cell r="H916">
            <v>0.8</v>
          </cell>
          <cell r="I916" t="str">
            <v>Kg / Ltr</v>
          </cell>
        </row>
        <row r="917">
          <cell r="A917">
            <v>8</v>
          </cell>
          <cell r="C917" t="str">
            <v>Bahan dasar (aspal &amp; minyak pencair) semuanya</v>
          </cell>
        </row>
        <row r="918">
          <cell r="C918" t="str">
            <v>diterima dilokasi pekerjaan</v>
          </cell>
          <cell r="L918" t="str">
            <v>A.</v>
          </cell>
          <cell r="N918" t="str">
            <v>TENAGA</v>
          </cell>
        </row>
        <row r="919">
          <cell r="A919" t="str">
            <v xml:space="preserve"> </v>
          </cell>
          <cell r="C919" t="str">
            <v xml:space="preserve"> </v>
          </cell>
        </row>
        <row r="920">
          <cell r="A920" t="str">
            <v>II.</v>
          </cell>
          <cell r="C920" t="str">
            <v>URUTAN KERJA</v>
          </cell>
          <cell r="L920" t="str">
            <v>1.</v>
          </cell>
          <cell r="N920" t="str">
            <v>Pekerja</v>
          </cell>
          <cell r="O920" t="str">
            <v>(L01)</v>
          </cell>
          <cell r="P920" t="str">
            <v>Jam</v>
          </cell>
          <cell r="Q920">
            <v>2.8348688873139617E-2</v>
          </cell>
          <cell r="R920">
            <v>2857.14</v>
          </cell>
          <cell r="U920">
            <v>80.996172927002121</v>
          </cell>
        </row>
        <row r="921">
          <cell r="A921">
            <v>1</v>
          </cell>
          <cell r="C921" t="str">
            <v>Aspal dan minyak tanah dicampur dan dipanaskan</v>
          </cell>
          <cell r="L921" t="str">
            <v>2.</v>
          </cell>
          <cell r="N921" t="str">
            <v>Mandor</v>
          </cell>
          <cell r="O921" t="str">
            <v>(L03)</v>
          </cell>
          <cell r="P921" t="str">
            <v>Jam</v>
          </cell>
          <cell r="Q921">
            <v>2.8348688873139618E-3</v>
          </cell>
          <cell r="R921">
            <v>3214.29</v>
          </cell>
          <cell r="U921">
            <v>9.1120907158043938</v>
          </cell>
        </row>
        <row r="922">
          <cell r="C922" t="str">
            <v>sehingga menjadi campuran aspal cair</v>
          </cell>
        </row>
        <row r="923">
          <cell r="A923">
            <v>2</v>
          </cell>
          <cell r="C923" t="str">
            <v>Permukaan yang akan dilapis dibersihkan dari debu</v>
          </cell>
        </row>
        <row r="924">
          <cell r="C924" t="str">
            <v>dan kotoran dengan Air Compresor</v>
          </cell>
          <cell r="Q924" t="str">
            <v xml:space="preserve">JUMLAH HARGA TENAGA   </v>
          </cell>
          <cell r="U924">
            <v>90.10826364280652</v>
          </cell>
        </row>
        <row r="925">
          <cell r="A925">
            <v>3</v>
          </cell>
          <cell r="C925" t="str">
            <v>Campuran aspal cair disemprotkan dengan Asphalt</v>
          </cell>
        </row>
        <row r="926">
          <cell r="C926" t="str">
            <v>Sprayer ke atas permukaan yang akan dilapis</v>
          </cell>
          <cell r="L926" t="str">
            <v>B.</v>
          </cell>
          <cell r="N926" t="str">
            <v>BAHAN</v>
          </cell>
        </row>
        <row r="927">
          <cell r="A927">
            <v>4</v>
          </cell>
          <cell r="C927" t="str">
            <v>Angkutan Aspal dan Minyak Tanah menggunakan</v>
          </cell>
          <cell r="Q927" t="str">
            <v xml:space="preserve"> </v>
          </cell>
        </row>
        <row r="928">
          <cell r="C928" t="str">
            <v>Dump Truck</v>
          </cell>
          <cell r="L928" t="str">
            <v>1.</v>
          </cell>
          <cell r="N928" t="str">
            <v>Aspal</v>
          </cell>
          <cell r="O928" t="str">
            <v>(M10)</v>
          </cell>
          <cell r="P928" t="str">
            <v>Kg</v>
          </cell>
          <cell r="Q928">
            <v>1.1000000000000001</v>
          </cell>
          <cell r="R928">
            <v>2086.6280000000002</v>
          </cell>
          <cell r="U928">
            <v>2295.2908000000002</v>
          </cell>
        </row>
        <row r="929">
          <cell r="L929" t="str">
            <v>2.</v>
          </cell>
          <cell r="N929" t="str">
            <v>Minyak Tanah</v>
          </cell>
          <cell r="O929" t="str">
            <v>(M11)</v>
          </cell>
          <cell r="P929" t="str">
            <v>Liter</v>
          </cell>
          <cell r="Q929">
            <v>5.2380952380952514E-2</v>
          </cell>
          <cell r="R929">
            <v>1650</v>
          </cell>
          <cell r="U929">
            <v>86.428571428571644</v>
          </cell>
        </row>
        <row r="930">
          <cell r="A930" t="str">
            <v>III.</v>
          </cell>
          <cell r="C930" t="str">
            <v>PEMAKAIAN BAHAN, ALAT DAN TENAGA</v>
          </cell>
        </row>
        <row r="932">
          <cell r="A932" t="str">
            <v xml:space="preserve">   1.</v>
          </cell>
          <cell r="C932" t="str">
            <v>BAHAN</v>
          </cell>
        </row>
        <row r="933">
          <cell r="C933" t="str">
            <v>Untuk mendapatkan 1 liter Lapis resap Pengikat</v>
          </cell>
        </row>
        <row r="934">
          <cell r="C934" t="str">
            <v>diperlukan :</v>
          </cell>
          <cell r="D934" t="str">
            <v>(1 liter x Fh)</v>
          </cell>
          <cell r="G934" t="str">
            <v>Pc</v>
          </cell>
          <cell r="H934">
            <v>1.1000000000000001</v>
          </cell>
          <cell r="I934" t="str">
            <v>liter</v>
          </cell>
          <cell r="J934" t="str">
            <v>Campuran</v>
          </cell>
          <cell r="Q934" t="str">
            <v xml:space="preserve">JUMLAH HARGA BAHAN   </v>
          </cell>
          <cell r="U934">
            <v>2381.7193714285718</v>
          </cell>
        </row>
        <row r="936">
          <cell r="C936" t="str">
            <v>Aspal</v>
          </cell>
          <cell r="D936" t="str">
            <v>= As x Pc x D1 : 100</v>
          </cell>
          <cell r="G936" t="str">
            <v>(M10)</v>
          </cell>
          <cell r="H936">
            <v>1.1000000000000001</v>
          </cell>
          <cell r="I936" t="str">
            <v>Kg</v>
          </cell>
          <cell r="L936" t="str">
            <v>C.</v>
          </cell>
          <cell r="N936" t="str">
            <v>PERALATAN</v>
          </cell>
        </row>
        <row r="937">
          <cell r="C937" t="str">
            <v>Minyak Tanah</v>
          </cell>
          <cell r="D937" t="str">
            <v>= K x Pc : 100</v>
          </cell>
          <cell r="G937" t="str">
            <v>(M11)</v>
          </cell>
          <cell r="H937">
            <v>5.2380952380952514E-2</v>
          </cell>
          <cell r="I937" t="str">
            <v>liter</v>
          </cell>
        </row>
        <row r="938">
          <cell r="L938" t="str">
            <v>1.</v>
          </cell>
          <cell r="N938" t="str">
            <v>Asphalt Sprayer  (E03)</v>
          </cell>
          <cell r="P938" t="str">
            <v>Jam</v>
          </cell>
          <cell r="Q938">
            <v>2.8348688873139618E-3</v>
          </cell>
          <cell r="R938">
            <v>30575.535383788432</v>
          </cell>
          <cell r="U938">
            <v>86.677633972468982</v>
          </cell>
        </row>
        <row r="939">
          <cell r="A939" t="str">
            <v>2.</v>
          </cell>
          <cell r="C939" t="str">
            <v>ALAT</v>
          </cell>
          <cell r="L939" t="str">
            <v>2.</v>
          </cell>
          <cell r="N939" t="str">
            <v>Air Compresor    (E05)</v>
          </cell>
          <cell r="P939" t="str">
            <v>Jam</v>
          </cell>
          <cell r="Q939">
            <v>1.7857142857142857E-3</v>
          </cell>
          <cell r="R939">
            <v>53840.365312835944</v>
          </cell>
          <cell r="U939">
            <v>96.143509487207041</v>
          </cell>
        </row>
        <row r="940">
          <cell r="A940" t="str">
            <v>2.a.</v>
          </cell>
          <cell r="C940" t="str">
            <v>APHALT SPRAYER</v>
          </cell>
          <cell r="G940" t="str">
            <v>(E03)</v>
          </cell>
          <cell r="L940" t="str">
            <v>3.</v>
          </cell>
          <cell r="N940" t="str">
            <v>Dump Truck</v>
          </cell>
          <cell r="O940" t="str">
            <v>(E08)</v>
          </cell>
          <cell r="P940" t="str">
            <v>Jam</v>
          </cell>
          <cell r="Q940">
            <v>2.8348688873139618E-3</v>
          </cell>
          <cell r="R940">
            <v>153645.58193291764</v>
          </cell>
          <cell r="U940">
            <v>435.56507989487642</v>
          </cell>
        </row>
        <row r="941">
          <cell r="C941" t="str">
            <v>Kapasitas alat</v>
          </cell>
          <cell r="G941" t="str">
            <v>V</v>
          </cell>
          <cell r="H941">
            <v>850</v>
          </cell>
          <cell r="I941" t="str">
            <v>liter</v>
          </cell>
        </row>
        <row r="942">
          <cell r="C942" t="str">
            <v>Faktor Efisiensi Alat</v>
          </cell>
          <cell r="G942" t="str">
            <v>Fa</v>
          </cell>
          <cell r="H942">
            <v>0.83</v>
          </cell>
          <cell r="I942" t="str">
            <v>-</v>
          </cell>
        </row>
        <row r="943">
          <cell r="C943" t="str">
            <v>Waktu Siklus (termasuk proses pemanasan)</v>
          </cell>
          <cell r="G943" t="str">
            <v>Ts</v>
          </cell>
          <cell r="H943">
            <v>2</v>
          </cell>
          <cell r="I943" t="str">
            <v>Jam</v>
          </cell>
        </row>
        <row r="945">
          <cell r="C945" t="str">
            <v>Kap.Prod. / jam =</v>
          </cell>
          <cell r="D945" t="str">
            <v>V x Fa</v>
          </cell>
          <cell r="G945" t="str">
            <v>Q1</v>
          </cell>
          <cell r="H945">
            <v>352.75</v>
          </cell>
          <cell r="I945" t="str">
            <v>liter</v>
          </cell>
        </row>
        <row r="946">
          <cell r="D946" t="str">
            <v>Ts</v>
          </cell>
          <cell r="Q946" t="str">
            <v xml:space="preserve">JUMLAH HARGA PERALATAN   </v>
          </cell>
          <cell r="U946">
            <v>618.38622335455238</v>
          </cell>
        </row>
        <row r="947">
          <cell r="C947" t="str">
            <v>Koefisien Alat / Ltr</v>
          </cell>
          <cell r="D947" t="str">
            <v xml:space="preserve"> = 1 : Q1</v>
          </cell>
          <cell r="G947" t="str">
            <v>(E03)</v>
          </cell>
          <cell r="H947">
            <v>2.8348688873139618E-3</v>
          </cell>
          <cell r="I947" t="str">
            <v>Jam</v>
          </cell>
        </row>
        <row r="948">
          <cell r="L948" t="str">
            <v>D.</v>
          </cell>
          <cell r="N948" t="str">
            <v>JUMLAH HARGA TENAGA, BAHAN DAN PERALATAN  ( A + B + C )</v>
          </cell>
          <cell r="U948">
            <v>3090.2138584259305</v>
          </cell>
        </row>
        <row r="949">
          <cell r="A949" t="str">
            <v>2.b.</v>
          </cell>
          <cell r="C949" t="str">
            <v>AIR COMPRESOR</v>
          </cell>
          <cell r="G949" t="str">
            <v>(E05)</v>
          </cell>
          <cell r="L949" t="str">
            <v>E.</v>
          </cell>
          <cell r="N949" t="str">
            <v>OVERHEAD &amp; PROFIT</v>
          </cell>
          <cell r="P949">
            <v>10</v>
          </cell>
          <cell r="Q949" t="str">
            <v>%  x  D</v>
          </cell>
          <cell r="U949">
            <v>309.02138584259308</v>
          </cell>
        </row>
        <row r="950">
          <cell r="C950" t="str">
            <v>Kapasitas Alat ------&gt;&gt;  diambil</v>
          </cell>
          <cell r="G950" t="str">
            <v>V</v>
          </cell>
          <cell r="H950">
            <v>700</v>
          </cell>
          <cell r="I950" t="str">
            <v>M2 / Jam</v>
          </cell>
          <cell r="L950" t="str">
            <v>F.</v>
          </cell>
          <cell r="N950" t="str">
            <v>HARGA SATUAN PEKERJAAN  ( D + E )</v>
          </cell>
          <cell r="U950">
            <v>3399.2352442685237</v>
          </cell>
        </row>
        <row r="951">
          <cell r="C951" t="str">
            <v>Aplikasi rata-rata</v>
          </cell>
          <cell r="G951" t="str">
            <v>Ap</v>
          </cell>
          <cell r="H951">
            <v>0.8</v>
          </cell>
          <cell r="I951" t="str">
            <v>liter / M2</v>
          </cell>
          <cell r="L951" t="str">
            <v>Note: 1</v>
          </cell>
          <cell r="N951" t="str">
            <v>SATUAN dapat berdasarkan atas jam operasi untuk Tenaga Kerja dan Peralatan, volume dan/atau ukuran</v>
          </cell>
        </row>
        <row r="952">
          <cell r="N952" t="str">
            <v>berat untuk bahan-bahan.</v>
          </cell>
        </row>
        <row r="953">
          <cell r="C953" t="str">
            <v xml:space="preserve">Kap. Prod. / jam = </v>
          </cell>
          <cell r="D953" t="str">
            <v>(V x Ap)</v>
          </cell>
          <cell r="G953" t="str">
            <v>Q2</v>
          </cell>
          <cell r="H953">
            <v>560</v>
          </cell>
          <cell r="I953" t="str">
            <v>liter</v>
          </cell>
          <cell r="L953">
            <v>2</v>
          </cell>
          <cell r="N953" t="str">
            <v>Kuantitas satuan adalah kuantitas setiap komponen untuk menyelesaikan satu satuan pekerjaan dari nomor</v>
          </cell>
        </row>
        <row r="954">
          <cell r="N954" t="str">
            <v>mata pembayaran.</v>
          </cell>
        </row>
        <row r="955">
          <cell r="C955" t="str">
            <v>Koefisien Alat / Ltr</v>
          </cell>
          <cell r="D955" t="str">
            <v xml:space="preserve"> = 1 : Q2</v>
          </cell>
          <cell r="G955" t="str">
            <v>(E05)</v>
          </cell>
          <cell r="H955">
            <v>1.7857142857142857E-3</v>
          </cell>
          <cell r="I955" t="str">
            <v>Jam</v>
          </cell>
          <cell r="L955">
            <v>3</v>
          </cell>
          <cell r="N955" t="str">
            <v>Biaya satuan untuk peralatan sudah termasuk bahan bakar, bahan habis dipakai dan operator.</v>
          </cell>
        </row>
        <row r="956">
          <cell r="L956">
            <v>4</v>
          </cell>
          <cell r="N956" t="str">
            <v>Biaya satuan sudah termasuk pengeluaran untuk seluruh pajak yang berkaitan (tetapi tidak termasuk PPN</v>
          </cell>
        </row>
        <row r="957">
          <cell r="J957" t="str">
            <v>Berlanjut ke halaman berikut</v>
          </cell>
          <cell r="N957" t="str">
            <v>yang dibayar dari kontrak) dan biaya-biaya lainnya.</v>
          </cell>
        </row>
        <row r="958">
          <cell r="A958" t="str">
            <v>ITEM PEMBAYARAN NO.</v>
          </cell>
          <cell r="D958" t="str">
            <v>:  4.2 (6)</v>
          </cell>
          <cell r="J958" t="str">
            <v>Analisa EI-426</v>
          </cell>
        </row>
        <row r="959">
          <cell r="A959" t="str">
            <v xml:space="preserve">JENIS PEKERJAAN                                  </v>
          </cell>
          <cell r="D959" t="str">
            <v>:  Aspal Utk. Pekerjaan Pelaburan</v>
          </cell>
        </row>
        <row r="960">
          <cell r="A960" t="str">
            <v>SATUAN PEMBAYARAN</v>
          </cell>
          <cell r="D960" t="str">
            <v>:  LITER</v>
          </cell>
          <cell r="J960" t="str">
            <v xml:space="preserve">         URAIAN ANALISA HARGA SATUAN</v>
          </cell>
        </row>
        <row r="961">
          <cell r="J961" t="str">
            <v>Lanjutan</v>
          </cell>
        </row>
        <row r="963">
          <cell r="A963" t="str">
            <v>No.</v>
          </cell>
          <cell r="C963" t="str">
            <v>U R A I A N</v>
          </cell>
          <cell r="G963" t="str">
            <v>KODE</v>
          </cell>
          <cell r="H963" t="str">
            <v>KOEF.</v>
          </cell>
          <cell r="I963" t="str">
            <v>SATUAN</v>
          </cell>
          <cell r="J963" t="str">
            <v>KETERANGAN</v>
          </cell>
        </row>
        <row r="966">
          <cell r="A966" t="str">
            <v>2.c.</v>
          </cell>
          <cell r="C966" t="str">
            <v>DUMP TRUCK (DT)</v>
          </cell>
          <cell r="G966" t="str">
            <v>(E08)</v>
          </cell>
        </row>
        <row r="967">
          <cell r="C967" t="str">
            <v>Sebagai alat pengangkut bahan dilokasi pekerjaan</v>
          </cell>
        </row>
        <row r="968">
          <cell r="C968" t="str">
            <v>Dump Truck melayani alat Asphalt Sprayer.</v>
          </cell>
        </row>
        <row r="969">
          <cell r="C969" t="str">
            <v>Kap.Prod. / jam = sama dengan Asphalt Sprayer</v>
          </cell>
          <cell r="G969" t="str">
            <v>Q3</v>
          </cell>
          <cell r="H969">
            <v>352.75</v>
          </cell>
          <cell r="I969" t="str">
            <v>liter</v>
          </cell>
        </row>
        <row r="971">
          <cell r="C971" t="str">
            <v>Koefisien Alat / Ltr</v>
          </cell>
          <cell r="D971" t="str">
            <v xml:space="preserve"> = 1 : Q3</v>
          </cell>
          <cell r="G971" t="str">
            <v>(E08)</v>
          </cell>
          <cell r="H971">
            <v>2.8348688873139618E-3</v>
          </cell>
          <cell r="I971" t="str">
            <v>Jam</v>
          </cell>
        </row>
        <row r="973">
          <cell r="A973" t="str">
            <v>3.</v>
          </cell>
          <cell r="C973" t="str">
            <v>TENAGA</v>
          </cell>
        </row>
        <row r="974">
          <cell r="C974" t="str">
            <v>Produksi menentukan : ASPHALT SPRAYER</v>
          </cell>
          <cell r="G974" t="str">
            <v>Q1</v>
          </cell>
          <cell r="H974">
            <v>352.75</v>
          </cell>
          <cell r="I974" t="str">
            <v>Ltr/Jam</v>
          </cell>
        </row>
        <row r="975">
          <cell r="C975" t="str">
            <v>Produksi / hari  =  Tk x Q1</v>
          </cell>
          <cell r="G975" t="str">
            <v>Qt</v>
          </cell>
          <cell r="H975">
            <v>2469.25</v>
          </cell>
          <cell r="I975" t="str">
            <v>Liter</v>
          </cell>
        </row>
        <row r="976">
          <cell r="C976" t="str">
            <v>Kebutuhan tenaga :</v>
          </cell>
        </row>
        <row r="977">
          <cell r="D977" t="str">
            <v>- Pekerja</v>
          </cell>
          <cell r="G977" t="str">
            <v>P</v>
          </cell>
          <cell r="H977">
            <v>10</v>
          </cell>
          <cell r="I977" t="str">
            <v>orang</v>
          </cell>
        </row>
        <row r="978">
          <cell r="D978" t="str">
            <v>- Mandor</v>
          </cell>
          <cell r="G978" t="str">
            <v>M</v>
          </cell>
          <cell r="H978">
            <v>1</v>
          </cell>
          <cell r="I978" t="str">
            <v>orang</v>
          </cell>
        </row>
        <row r="980">
          <cell r="C980" t="str">
            <v>Koefisien Tenaga / Ltr     :</v>
          </cell>
        </row>
        <row r="981">
          <cell r="D981" t="str">
            <v>- Pekerja</v>
          </cell>
          <cell r="E981" t="str">
            <v>= (Tk x P) / Qt</v>
          </cell>
          <cell r="G981" t="str">
            <v>(L01)</v>
          </cell>
          <cell r="H981">
            <v>2.8348688873139617E-2</v>
          </cell>
          <cell r="I981" t="str">
            <v>Jam</v>
          </cell>
        </row>
        <row r="982">
          <cell r="D982" t="str">
            <v>- Mandor</v>
          </cell>
          <cell r="E982" t="str">
            <v>= (Tk x M) / Qt</v>
          </cell>
          <cell r="G982" t="str">
            <v>(L03)</v>
          </cell>
          <cell r="H982">
            <v>2.8348688873139618E-3</v>
          </cell>
          <cell r="I982" t="str">
            <v>Jam</v>
          </cell>
        </row>
        <row r="984">
          <cell r="A984" t="str">
            <v>4.</v>
          </cell>
          <cell r="C984" t="str">
            <v>HARGA DASAR SATUAN UPAH, BAHAN DAN ALAT</v>
          </cell>
        </row>
        <row r="985">
          <cell r="C985" t="str">
            <v>Lihat lampiran.</v>
          </cell>
        </row>
        <row r="987">
          <cell r="A987" t="str">
            <v>5.</v>
          </cell>
          <cell r="C987" t="str">
            <v>ANALISA HARGA SATUAN PEKERJAAN</v>
          </cell>
        </row>
        <row r="988">
          <cell r="C988" t="str">
            <v>Lihat perhitungan dalam FORMULIR STANDAR UNTUK</v>
          </cell>
        </row>
        <row r="989">
          <cell r="C989" t="str">
            <v>PEREKEMAN ANALISA MASING-MASING HARGA</v>
          </cell>
        </row>
        <row r="990">
          <cell r="C990" t="str">
            <v>SATUAN.</v>
          </cell>
        </row>
        <row r="991">
          <cell r="C991" t="str">
            <v>Didapat Harga Satuan Pekerjaan :</v>
          </cell>
        </row>
        <row r="993">
          <cell r="C993" t="str">
            <v xml:space="preserve">Rp.  </v>
          </cell>
          <cell r="D993">
            <v>3399.2352442685237</v>
          </cell>
          <cell r="E993" t="str">
            <v xml:space="preserve"> / Liter</v>
          </cell>
        </row>
        <row r="996">
          <cell r="A996" t="str">
            <v>6.</v>
          </cell>
          <cell r="C996" t="str">
            <v>WAKTU PELAKSANAAN YANG DIPERLUKAN</v>
          </cell>
        </row>
        <row r="997">
          <cell r="C997" t="str">
            <v>Waktu pelaksanaan</v>
          </cell>
          <cell r="D997" t="str">
            <v>:  . . . . . . .  bulan</v>
          </cell>
        </row>
        <row r="999">
          <cell r="A999" t="str">
            <v>7.</v>
          </cell>
          <cell r="C999" t="str">
            <v>VOLUME PEKERJAAN YANG DIPERLUKAN</v>
          </cell>
        </row>
        <row r="1000">
          <cell r="C1000" t="str">
            <v>Volume pekerjaan  :</v>
          </cell>
          <cell r="D1000">
            <v>0</v>
          </cell>
          <cell r="E1000" t="str">
            <v>Liter</v>
          </cell>
        </row>
        <row r="1015">
          <cell r="C1015" t="str">
            <v xml:space="preserve"> </v>
          </cell>
        </row>
        <row r="1017">
          <cell r="A1017" t="str">
            <v>ITEM PEMBAYARAN NO.</v>
          </cell>
          <cell r="D1017" t="str">
            <v>:  4.2 (7)</v>
          </cell>
          <cell r="J1017" t="str">
            <v>Analisa EI-427</v>
          </cell>
          <cell r="T1017" t="str">
            <v>Analisa EI-427</v>
          </cell>
        </row>
        <row r="1018">
          <cell r="A1018" t="str">
            <v>JENIS PEKERJAAN</v>
          </cell>
          <cell r="D1018" t="str">
            <v>:  Lapis Resap Pengikat</v>
          </cell>
        </row>
        <row r="1019">
          <cell r="A1019" t="str">
            <v>SATUAN PEMBAYARAN</v>
          </cell>
          <cell r="D1019" t="str">
            <v>:  LITER</v>
          </cell>
          <cell r="J1019" t="str">
            <v xml:space="preserve">         URAIAN ANALISA HARGA SATUAN</v>
          </cell>
          <cell r="L1019" t="str">
            <v>FORMULIR STANDAR UNTUK</v>
          </cell>
        </row>
        <row r="1020">
          <cell r="L1020" t="str">
            <v>PEREKAMAN ANALISA MASING-MASING HARGA SATUAN</v>
          </cell>
        </row>
        <row r="1021">
          <cell r="L1021" t="str">
            <v xml:space="preserve">                                                                                                            </v>
          </cell>
        </row>
        <row r="1022">
          <cell r="A1022" t="str">
            <v>No.</v>
          </cell>
          <cell r="C1022" t="str">
            <v>U R A I A N</v>
          </cell>
          <cell r="G1022" t="str">
            <v>KODE</v>
          </cell>
          <cell r="H1022" t="str">
            <v>KOEF.</v>
          </cell>
          <cell r="I1022" t="str">
            <v>SATUAN</v>
          </cell>
          <cell r="J1022" t="str">
            <v>KETERANGAN</v>
          </cell>
        </row>
        <row r="1024">
          <cell r="L1024" t="str">
            <v>PROYEK</v>
          </cell>
          <cell r="O1024" t="str">
            <v>:</v>
          </cell>
        </row>
        <row r="1025">
          <cell r="A1025" t="str">
            <v>I.</v>
          </cell>
          <cell r="C1025" t="str">
            <v>ASUMSI</v>
          </cell>
          <cell r="L1025" t="str">
            <v>No. PAKET KONTRAK</v>
          </cell>
          <cell r="O1025" t="str">
            <v>:</v>
          </cell>
        </row>
        <row r="1026">
          <cell r="A1026">
            <v>1</v>
          </cell>
          <cell r="C1026" t="str">
            <v>Menggunakan alat berat (cara mekanik)</v>
          </cell>
          <cell r="L1026" t="str">
            <v>NAMA PAKET</v>
          </cell>
          <cell r="O1026" t="str">
            <v>:</v>
          </cell>
        </row>
        <row r="1027">
          <cell r="A1027">
            <v>2</v>
          </cell>
          <cell r="C1027" t="str">
            <v>Lokasi pekerjaan : sepanjang jalan</v>
          </cell>
          <cell r="L1027" t="str">
            <v>PROP / KAB / KODYA</v>
          </cell>
          <cell r="O1027" t="str">
            <v>:</v>
          </cell>
        </row>
        <row r="1028">
          <cell r="A1028">
            <v>3</v>
          </cell>
          <cell r="C1028" t="str">
            <v>Jarak rata-rata Base Camp ke lokasi pekerjaan</v>
          </cell>
          <cell r="G1028" t="str">
            <v>L</v>
          </cell>
          <cell r="H1028">
            <v>8.7249999999999996</v>
          </cell>
          <cell r="I1028" t="str">
            <v>KM</v>
          </cell>
          <cell r="L1028" t="str">
            <v>ITEM PEMBAYARAN NO.</v>
          </cell>
          <cell r="O1028" t="str">
            <v>:  4.2 (7)</v>
          </cell>
          <cell r="R1028" t="str">
            <v>PERKIRAAN VOL. PEK.</v>
          </cell>
          <cell r="T1028" t="str">
            <v>:</v>
          </cell>
          <cell r="U1028">
            <v>1</v>
          </cell>
        </row>
        <row r="1029">
          <cell r="A1029">
            <v>4</v>
          </cell>
          <cell r="C1029" t="str">
            <v>Jam kerja efektif per-hari</v>
          </cell>
          <cell r="G1029" t="str">
            <v>Tk</v>
          </cell>
          <cell r="H1029">
            <v>7</v>
          </cell>
          <cell r="I1029" t="str">
            <v>Jam</v>
          </cell>
          <cell r="L1029" t="str">
            <v>JENIS PEKERJAAN</v>
          </cell>
          <cell r="O1029" t="str">
            <v>:  Lapis Resap Pengikat</v>
          </cell>
          <cell r="R1029" t="str">
            <v>TOTAL HARGA (Rp.)</v>
          </cell>
          <cell r="T1029" t="str">
            <v>:</v>
          </cell>
          <cell r="U1029">
            <v>305360.27</v>
          </cell>
        </row>
        <row r="1030">
          <cell r="A1030">
            <v>5</v>
          </cell>
          <cell r="C1030" t="str">
            <v>Faktor kehilangan bahan</v>
          </cell>
          <cell r="G1030" t="str">
            <v>Fh</v>
          </cell>
          <cell r="H1030">
            <v>1.1000000000000001</v>
          </cell>
          <cell r="I1030" t="str">
            <v>-</v>
          </cell>
          <cell r="L1030" t="str">
            <v>SATUAN PEMBAYARAN</v>
          </cell>
          <cell r="O1030" t="str">
            <v>:  LITER</v>
          </cell>
          <cell r="R1030" t="str">
            <v>% THD. BIAYA PROYEK</v>
          </cell>
          <cell r="T1030" t="str">
            <v>:</v>
          </cell>
          <cell r="U1030" t="e">
            <v>#DIV/0!</v>
          </cell>
        </row>
        <row r="1031">
          <cell r="A1031">
            <v>6</v>
          </cell>
          <cell r="C1031" t="str">
            <v>Komposisi campuran :</v>
          </cell>
        </row>
        <row r="1032">
          <cell r="C1032" t="str">
            <v>- Aspal AC-10 atau AC-20</v>
          </cell>
          <cell r="G1032" t="str">
            <v>As</v>
          </cell>
          <cell r="H1032">
            <v>56</v>
          </cell>
          <cell r="I1032" t="str">
            <v>%</v>
          </cell>
          <cell r="J1032" t="str">
            <v xml:space="preserve"> 100 bagian</v>
          </cell>
        </row>
        <row r="1033">
          <cell r="C1033" t="str">
            <v>- Minyak Flux / Pencair</v>
          </cell>
          <cell r="G1033" t="str">
            <v>K</v>
          </cell>
          <cell r="H1033">
            <v>44</v>
          </cell>
          <cell r="I1033" t="str">
            <v>%</v>
          </cell>
          <cell r="J1033" t="str">
            <v xml:space="preserve"> 80   bagian</v>
          </cell>
          <cell r="Q1033" t="str">
            <v>PERKIRAAN</v>
          </cell>
          <cell r="R1033" t="str">
            <v>HARGA</v>
          </cell>
          <cell r="S1033" t="str">
            <v>JUMLAH</v>
          </cell>
        </row>
        <row r="1034">
          <cell r="A1034">
            <v>7</v>
          </cell>
          <cell r="C1034" t="str">
            <v>Berat jenis bahan :</v>
          </cell>
          <cell r="L1034" t="str">
            <v>NO.</v>
          </cell>
          <cell r="N1034" t="str">
            <v>KOMPONEN</v>
          </cell>
          <cell r="P1034" t="str">
            <v>SATUAN</v>
          </cell>
          <cell r="Q1034" t="str">
            <v>KUANTITAS</v>
          </cell>
          <cell r="R1034" t="str">
            <v>SATUAN</v>
          </cell>
          <cell r="S1034" t="str">
            <v>HARGA</v>
          </cell>
        </row>
        <row r="1035">
          <cell r="C1035" t="str">
            <v>- Aspal AC-10 atau AC-20</v>
          </cell>
          <cell r="G1035" t="str">
            <v>D1</v>
          </cell>
          <cell r="H1035">
            <v>1.03</v>
          </cell>
          <cell r="I1035" t="str">
            <v>Kg / liter</v>
          </cell>
          <cell r="R1035" t="str">
            <v>(Rp.)</v>
          </cell>
          <cell r="S1035" t="str">
            <v>(Rp.)</v>
          </cell>
        </row>
        <row r="1036">
          <cell r="C1036" t="str">
            <v>- Minyak Flux / Pencair</v>
          </cell>
          <cell r="G1036" t="str">
            <v>D2</v>
          </cell>
          <cell r="H1036">
            <v>0.8</v>
          </cell>
          <cell r="I1036" t="str">
            <v>Kg / liter</v>
          </cell>
        </row>
        <row r="1037">
          <cell r="A1037">
            <v>8</v>
          </cell>
          <cell r="C1037" t="str">
            <v>Bahan dasar (aspal &amp; minyak pencair) semuanya</v>
          </cell>
        </row>
        <row r="1038">
          <cell r="C1038" t="str">
            <v>diterima di lokasi pekerjaan</v>
          </cell>
          <cell r="L1038" t="str">
            <v>A.</v>
          </cell>
          <cell r="N1038" t="str">
            <v>TENAGA</v>
          </cell>
        </row>
        <row r="1040">
          <cell r="A1040" t="str">
            <v>II.</v>
          </cell>
          <cell r="C1040" t="str">
            <v>URUTAN KERJA</v>
          </cell>
          <cell r="L1040" t="str">
            <v>1.</v>
          </cell>
          <cell r="N1040" t="str">
            <v>Pekerja</v>
          </cell>
          <cell r="O1040" t="str">
            <v>(L01)</v>
          </cell>
          <cell r="P1040" t="str">
            <v>Jam</v>
          </cell>
          <cell r="Q1040">
            <v>2.8348688873139617E-2</v>
          </cell>
          <cell r="R1040">
            <v>2857.14</v>
          </cell>
          <cell r="U1040">
            <v>80.996172927002121</v>
          </cell>
        </row>
        <row r="1041">
          <cell r="A1041">
            <v>1</v>
          </cell>
          <cell r="C1041" t="str">
            <v>Aspal dan Minyak Flux dicampur dan dipanaskan</v>
          </cell>
          <cell r="L1041" t="str">
            <v>2.</v>
          </cell>
          <cell r="N1041" t="str">
            <v>Mandor</v>
          </cell>
          <cell r="O1041" t="str">
            <v>(L03)</v>
          </cell>
          <cell r="P1041" t="str">
            <v>Jam</v>
          </cell>
          <cell r="Q1041">
            <v>5.6697377746279237E-3</v>
          </cell>
          <cell r="R1041">
            <v>3214.29</v>
          </cell>
          <cell r="U1041">
            <v>18.224181431608788</v>
          </cell>
        </row>
        <row r="1042">
          <cell r="C1042" t="str">
            <v>sehingga menjadi campuran aspal cair</v>
          </cell>
        </row>
        <row r="1043">
          <cell r="A1043">
            <v>2</v>
          </cell>
          <cell r="C1043" t="str">
            <v>Permukaan yang akan dilapis dibersihkan dari debu</v>
          </cell>
        </row>
        <row r="1044">
          <cell r="C1044" t="str">
            <v>dan kotoran dengan Air Compressor</v>
          </cell>
          <cell r="Q1044" t="str">
            <v xml:space="preserve">JUMLAH HARGA TENAGA   </v>
          </cell>
          <cell r="U1044">
            <v>99.220354358610905</v>
          </cell>
        </row>
        <row r="1045">
          <cell r="A1045">
            <v>3</v>
          </cell>
          <cell r="C1045" t="str">
            <v>Campuran aspal cair disemprotkan dengan Asphalt</v>
          </cell>
        </row>
        <row r="1046">
          <cell r="C1046" t="str">
            <v>Sprayer ke atas permukaan yang akan dilapis.</v>
          </cell>
          <cell r="L1046" t="str">
            <v>B.</v>
          </cell>
          <cell r="N1046" t="str">
            <v>BAHAN</v>
          </cell>
        </row>
        <row r="1047">
          <cell r="A1047">
            <v>4</v>
          </cell>
          <cell r="C1047" t="str">
            <v>Angkutan Aspal &amp; Minyak Flux menggunakan Dump</v>
          </cell>
        </row>
        <row r="1048">
          <cell r="C1048" t="str">
            <v>Truck</v>
          </cell>
          <cell r="L1048" t="str">
            <v>1.</v>
          </cell>
          <cell r="N1048" t="str">
            <v>Aspal</v>
          </cell>
          <cell r="O1048" t="str">
            <v>(M10)</v>
          </cell>
          <cell r="P1048" t="str">
            <v>Kg</v>
          </cell>
          <cell r="Q1048">
            <v>0.63448000000000015</v>
          </cell>
          <cell r="R1048">
            <v>2086.6280000000002</v>
          </cell>
          <cell r="U1048">
            <v>1323.9237334400004</v>
          </cell>
        </row>
        <row r="1049">
          <cell r="L1049" t="str">
            <v>2.</v>
          </cell>
          <cell r="N1049" t="str">
            <v>Kerosene</v>
          </cell>
          <cell r="O1049" t="str">
            <v>(M11)</v>
          </cell>
          <cell r="P1049" t="str">
            <v>liter</v>
          </cell>
          <cell r="Q1049">
            <v>0.48400000000000004</v>
          </cell>
          <cell r="R1049">
            <v>1650</v>
          </cell>
          <cell r="U1049">
            <v>798.6</v>
          </cell>
        </row>
        <row r="1050">
          <cell r="A1050" t="str">
            <v>III.</v>
          </cell>
          <cell r="C1050" t="str">
            <v>PEMAKAIAN BAHAN, ALAT DAN TENAGA</v>
          </cell>
        </row>
        <row r="1052">
          <cell r="A1052" t="str">
            <v xml:space="preserve">   1.</v>
          </cell>
          <cell r="C1052" t="str">
            <v>BAHAN</v>
          </cell>
        </row>
        <row r="1053">
          <cell r="C1053" t="str">
            <v>Untuk mendapatkan 1 liter Lapis Resap Pengikat</v>
          </cell>
        </row>
        <row r="1054">
          <cell r="C1054" t="str">
            <v>diperlukan :</v>
          </cell>
          <cell r="D1054" t="str">
            <v>( 1 liter x Fh )</v>
          </cell>
          <cell r="G1054" t="str">
            <v>PC</v>
          </cell>
          <cell r="H1054">
            <v>1.1000000000000001</v>
          </cell>
          <cell r="I1054" t="str">
            <v>liter</v>
          </cell>
          <cell r="J1054" t="str">
            <v xml:space="preserve"> Campuran</v>
          </cell>
          <cell r="Q1054" t="str">
            <v xml:space="preserve">JUMLAH HARGA BAHAN   </v>
          </cell>
          <cell r="U1054">
            <v>2122.5237334400003</v>
          </cell>
        </row>
        <row r="1056">
          <cell r="A1056" t="str">
            <v xml:space="preserve">   1.a.</v>
          </cell>
          <cell r="C1056" t="str">
            <v>Aspal</v>
          </cell>
          <cell r="D1056" t="str">
            <v>=   As x PC x D1</v>
          </cell>
          <cell r="G1056" t="str">
            <v>(M10)</v>
          </cell>
          <cell r="H1056">
            <v>0.63448000000000015</v>
          </cell>
          <cell r="I1056" t="str">
            <v>Kg.</v>
          </cell>
          <cell r="L1056" t="str">
            <v>C.</v>
          </cell>
          <cell r="N1056" t="str">
            <v>PERALATAN</v>
          </cell>
        </row>
        <row r="1057">
          <cell r="A1057" t="str">
            <v xml:space="preserve">   1.b.</v>
          </cell>
          <cell r="C1057" t="str">
            <v>Minyak Flux</v>
          </cell>
          <cell r="D1057" t="str">
            <v>=   K x PC</v>
          </cell>
          <cell r="G1057" t="str">
            <v>(M11)</v>
          </cell>
          <cell r="H1057">
            <v>0.48400000000000004</v>
          </cell>
          <cell r="I1057" t="str">
            <v>liter</v>
          </cell>
        </row>
        <row r="1058">
          <cell r="L1058" t="str">
            <v>1.</v>
          </cell>
          <cell r="N1058" t="str">
            <v>Asphalt Sprayer  (E03)</v>
          </cell>
          <cell r="P1058" t="str">
            <v>Jam</v>
          </cell>
          <cell r="Q1058">
            <v>2.8348688873139618E-3</v>
          </cell>
          <cell r="R1058">
            <v>30575.535383788432</v>
          </cell>
          <cell r="U1058">
            <v>86.677633972468982</v>
          </cell>
        </row>
        <row r="1059">
          <cell r="A1059" t="str">
            <v xml:space="preserve">   2.</v>
          </cell>
          <cell r="C1059" t="str">
            <v>ALAT</v>
          </cell>
          <cell r="L1059" t="str">
            <v>2.</v>
          </cell>
          <cell r="N1059" t="str">
            <v>Air Compresor    (E05)</v>
          </cell>
          <cell r="P1059" t="str">
            <v>Jam</v>
          </cell>
          <cell r="Q1059">
            <v>2.0833333333333333E-3</v>
          </cell>
          <cell r="R1059">
            <v>53840.365312835944</v>
          </cell>
          <cell r="U1059">
            <v>112.16742773507488</v>
          </cell>
        </row>
        <row r="1060">
          <cell r="A1060" t="str">
            <v xml:space="preserve">   2.a.</v>
          </cell>
          <cell r="C1060" t="str">
            <v>ASPHALT SPRAYER</v>
          </cell>
          <cell r="G1060" t="str">
            <v>(E03)</v>
          </cell>
          <cell r="L1060" t="str">
            <v>3.</v>
          </cell>
          <cell r="N1060" t="str">
            <v>Dump Truck</v>
          </cell>
          <cell r="O1060" t="str">
            <v>(E08)</v>
          </cell>
          <cell r="P1060" t="str">
            <v>Jam</v>
          </cell>
          <cell r="Q1060">
            <v>2.8348688873139618E-3</v>
          </cell>
          <cell r="R1060">
            <v>153645.58193291764</v>
          </cell>
          <cell r="U1060">
            <v>435.56507989487642</v>
          </cell>
        </row>
        <row r="1061">
          <cell r="C1061" t="str">
            <v>Kapasitas alat</v>
          </cell>
          <cell r="G1061" t="str">
            <v>V</v>
          </cell>
          <cell r="H1061">
            <v>850</v>
          </cell>
          <cell r="I1061" t="str">
            <v>liter</v>
          </cell>
        </row>
        <row r="1062">
          <cell r="C1062" t="str">
            <v>Faktor efisiensi alat</v>
          </cell>
          <cell r="G1062" t="str">
            <v>Fa</v>
          </cell>
          <cell r="H1062">
            <v>0.83</v>
          </cell>
          <cell r="I1062" t="str">
            <v>-</v>
          </cell>
        </row>
        <row r="1063">
          <cell r="C1063" t="str">
            <v>Waktu Siklus (termasuk proses pemanasan)</v>
          </cell>
          <cell r="G1063" t="str">
            <v>Ts</v>
          </cell>
          <cell r="H1063">
            <v>2</v>
          </cell>
          <cell r="I1063" t="str">
            <v>Jam</v>
          </cell>
        </row>
        <row r="1065">
          <cell r="C1065" t="str">
            <v>Kap. Prod. / jam =</v>
          </cell>
          <cell r="D1065" t="str">
            <v>V x Fa</v>
          </cell>
          <cell r="G1065" t="str">
            <v>Q1</v>
          </cell>
          <cell r="H1065">
            <v>352.75</v>
          </cell>
          <cell r="I1065" t="str">
            <v>liter</v>
          </cell>
        </row>
        <row r="1066">
          <cell r="D1066" t="str">
            <v>Ts</v>
          </cell>
          <cell r="Q1066" t="str">
            <v xml:space="preserve">JUMLAH HARGA PERALATAN   </v>
          </cell>
          <cell r="U1066">
            <v>634.41014160242025</v>
          </cell>
        </row>
        <row r="1067">
          <cell r="C1067" t="str">
            <v>Koefisien Alat / Ltr</v>
          </cell>
          <cell r="D1067" t="str">
            <v xml:space="preserve"> =  1  :  Q1</v>
          </cell>
          <cell r="G1067" t="str">
            <v>(E03)</v>
          </cell>
          <cell r="H1067">
            <v>2.8348688873139618E-3</v>
          </cell>
          <cell r="I1067" t="str">
            <v>Jam</v>
          </cell>
        </row>
        <row r="1068">
          <cell r="L1068" t="str">
            <v>D.</v>
          </cell>
          <cell r="N1068" t="str">
            <v>JUMLAH HARGA TENAGA, BAHAN DAN PERALATAN  ( A + B + C )</v>
          </cell>
          <cell r="U1068">
            <v>2856.1542294010314</v>
          </cell>
        </row>
        <row r="1069">
          <cell r="A1069" t="str">
            <v xml:space="preserve">   2.b.</v>
          </cell>
          <cell r="C1069" t="str">
            <v>AIR COMPRESSOR</v>
          </cell>
          <cell r="G1069" t="str">
            <v>(E05)</v>
          </cell>
          <cell r="L1069" t="str">
            <v>E.</v>
          </cell>
          <cell r="N1069" t="str">
            <v>OVERHEAD &amp; PROFIT</v>
          </cell>
          <cell r="P1069">
            <v>10</v>
          </cell>
          <cell r="Q1069" t="str">
            <v>%  x  D</v>
          </cell>
          <cell r="U1069">
            <v>285.61542294010314</v>
          </cell>
        </row>
        <row r="1070">
          <cell r="C1070" t="str">
            <v xml:space="preserve">Kapasitas alat   -----&gt;&gt;   diambil </v>
          </cell>
          <cell r="G1070" t="str">
            <v>V</v>
          </cell>
          <cell r="H1070">
            <v>600</v>
          </cell>
          <cell r="I1070" t="str">
            <v>M2 / Jam</v>
          </cell>
          <cell r="L1070" t="str">
            <v>F.</v>
          </cell>
          <cell r="N1070" t="str">
            <v>HARGA SATUAN PEKERJAAN  ( D + E )</v>
          </cell>
          <cell r="U1070">
            <v>3141.7696523411346</v>
          </cell>
        </row>
        <row r="1071">
          <cell r="C1071" t="str">
            <v>Aplikasi Lapis Resap Pengikat rata-rata (Spesifikasi)</v>
          </cell>
          <cell r="G1071" t="str">
            <v>Ap</v>
          </cell>
          <cell r="H1071">
            <v>0.8</v>
          </cell>
          <cell r="I1071" t="str">
            <v>liter / M2</v>
          </cell>
          <cell r="L1071" t="str">
            <v>Note: 1</v>
          </cell>
          <cell r="N1071" t="str">
            <v>SATUAN dapat berdasarkan atas jam operasi untuk Tenaga Kerja dan Peralatan, volume dan/atau ukuran</v>
          </cell>
        </row>
        <row r="1072">
          <cell r="N1072" t="str">
            <v>berat untuk bahan-bahan.</v>
          </cell>
        </row>
        <row r="1073">
          <cell r="C1073" t="str">
            <v>Kap. Prod. / jam =</v>
          </cell>
          <cell r="D1073" t="str">
            <v>( V x Ap )</v>
          </cell>
          <cell r="G1073" t="str">
            <v>Q2</v>
          </cell>
          <cell r="H1073">
            <v>480</v>
          </cell>
          <cell r="I1073" t="str">
            <v>liter</v>
          </cell>
          <cell r="L1073">
            <v>2</v>
          </cell>
          <cell r="N1073" t="str">
            <v>Kuantitas satuan adalah kuantitas setiap komponen untuk menyelesaikan satu satuan pekerjaan dari nomor</v>
          </cell>
        </row>
        <row r="1074">
          <cell r="N1074" t="str">
            <v>mata pembayaran.</v>
          </cell>
        </row>
        <row r="1075">
          <cell r="C1075" t="str">
            <v>Koefisien Alat / Ltr</v>
          </cell>
          <cell r="D1075" t="str">
            <v xml:space="preserve"> =  1  :  Q2</v>
          </cell>
          <cell r="G1075" t="str">
            <v>(E05)</v>
          </cell>
          <cell r="H1075">
            <v>2.0833333333333333E-3</v>
          </cell>
          <cell r="I1075" t="str">
            <v>Jam</v>
          </cell>
          <cell r="L1075">
            <v>3</v>
          </cell>
          <cell r="N1075" t="str">
            <v>Biaya satuan untuk peralatan sudah termasuk bahan bakar, bahan habis dipakai dan operator.</v>
          </cell>
        </row>
        <row r="1076">
          <cell r="L1076">
            <v>4</v>
          </cell>
          <cell r="N1076" t="str">
            <v>Biaya satuan sudah termasuk pengeluaran untuk seluruh pajak yang berkaitan (tetapi tidak termasuk PPN</v>
          </cell>
        </row>
        <row r="1077">
          <cell r="J1077" t="str">
            <v>Berlanjut ke halaman berikut</v>
          </cell>
          <cell r="N1077" t="str">
            <v>yang dibayar dari kontrak) dan biaya-biaya lainnya.</v>
          </cell>
        </row>
        <row r="1078">
          <cell r="A1078" t="str">
            <v>ITEM PEMBAYARAN NO.</v>
          </cell>
          <cell r="D1078" t="str">
            <v>:  4.2 (7)</v>
          </cell>
          <cell r="J1078" t="str">
            <v>Analisa EI-427</v>
          </cell>
        </row>
        <row r="1079">
          <cell r="A1079" t="str">
            <v>JENIS PEKERJAAN</v>
          </cell>
          <cell r="D1079" t="str">
            <v>:  Lapis Resap Pengikat</v>
          </cell>
        </row>
        <row r="1080">
          <cell r="A1080" t="str">
            <v>SATUAN PEMBAYARAN</v>
          </cell>
          <cell r="D1080" t="str">
            <v>:  LITER</v>
          </cell>
          <cell r="J1080" t="str">
            <v xml:space="preserve">         URAIAN ANALISA HARGA SATUAN</v>
          </cell>
        </row>
        <row r="1081">
          <cell r="J1081" t="str">
            <v>Lanjutan</v>
          </cell>
        </row>
        <row r="1083">
          <cell r="A1083" t="str">
            <v>No.</v>
          </cell>
          <cell r="C1083" t="str">
            <v>U R A I A N</v>
          </cell>
          <cell r="G1083" t="str">
            <v>KODE</v>
          </cell>
          <cell r="H1083" t="str">
            <v>KOEF.</v>
          </cell>
          <cell r="I1083" t="str">
            <v>SATUAN</v>
          </cell>
          <cell r="J1083" t="str">
            <v>KETERANGAN</v>
          </cell>
        </row>
        <row r="1086">
          <cell r="A1086" t="str">
            <v xml:space="preserve">   2.c.</v>
          </cell>
          <cell r="C1086" t="str">
            <v>DUMP TRUCK</v>
          </cell>
          <cell r="G1086" t="str">
            <v>(E08)</v>
          </cell>
        </row>
        <row r="1087">
          <cell r="C1087" t="str">
            <v>Sebagai alat pengangkut bahan di lokasi pekerjaan,</v>
          </cell>
        </row>
        <row r="1088">
          <cell r="C1088" t="str">
            <v>Dump Truck melayani alat Asphalt Sprayer.</v>
          </cell>
        </row>
        <row r="1089">
          <cell r="C1089" t="str">
            <v>Kap. Prod. / jam =</v>
          </cell>
          <cell r="D1089" t="str">
            <v>sama dengan Asphalt Sprayer</v>
          </cell>
          <cell r="G1089" t="str">
            <v>Q3</v>
          </cell>
          <cell r="H1089">
            <v>352.75</v>
          </cell>
          <cell r="I1089" t="str">
            <v>liter</v>
          </cell>
        </row>
        <row r="1091">
          <cell r="C1091" t="str">
            <v>Koefisien Alat / Ltr</v>
          </cell>
          <cell r="D1091" t="str">
            <v xml:space="preserve"> =  1  :  Q3</v>
          </cell>
          <cell r="G1091" t="str">
            <v>(E08)</v>
          </cell>
          <cell r="H1091">
            <v>2.8348688873139618E-3</v>
          </cell>
          <cell r="I1091" t="str">
            <v>Jam</v>
          </cell>
        </row>
        <row r="1093">
          <cell r="A1093" t="str">
            <v xml:space="preserve">   3.</v>
          </cell>
          <cell r="C1093" t="str">
            <v>TENAGA</v>
          </cell>
        </row>
        <row r="1094">
          <cell r="C1094" t="str">
            <v>Produksi menentukan : ASPHALT SPRAYER</v>
          </cell>
          <cell r="G1094" t="str">
            <v>Q4</v>
          </cell>
          <cell r="H1094">
            <v>352.75</v>
          </cell>
          <cell r="I1094" t="str">
            <v>liter</v>
          </cell>
        </row>
        <row r="1095">
          <cell r="C1095" t="str">
            <v>Produksi Lapis Resap Pengikat / hari  =  Tk x Q4</v>
          </cell>
          <cell r="G1095" t="str">
            <v>Qt</v>
          </cell>
          <cell r="H1095">
            <v>2469.25</v>
          </cell>
          <cell r="I1095" t="str">
            <v>liter</v>
          </cell>
        </row>
        <row r="1096">
          <cell r="C1096" t="str">
            <v>Kebutuhan tenaga :</v>
          </cell>
        </row>
        <row r="1097">
          <cell r="D1097" t="str">
            <v>- Pekerja</v>
          </cell>
          <cell r="G1097" t="str">
            <v>P</v>
          </cell>
          <cell r="H1097">
            <v>10</v>
          </cell>
          <cell r="I1097" t="str">
            <v>orang</v>
          </cell>
        </row>
        <row r="1098">
          <cell r="D1098" t="str">
            <v>- Mandor</v>
          </cell>
          <cell r="G1098" t="str">
            <v>M</v>
          </cell>
          <cell r="H1098">
            <v>2</v>
          </cell>
          <cell r="I1098" t="str">
            <v>orang</v>
          </cell>
        </row>
        <row r="1100">
          <cell r="C1100" t="str">
            <v>Koefisien tenaga / liter   :</v>
          </cell>
        </row>
        <row r="1101">
          <cell r="D1101" t="str">
            <v>- Pekerja</v>
          </cell>
          <cell r="E1101" t="str">
            <v>= (Tk x P) : Qt</v>
          </cell>
          <cell r="G1101" t="str">
            <v>(L01)</v>
          </cell>
          <cell r="H1101">
            <v>2.8348688873139617E-2</v>
          </cell>
          <cell r="I1101" t="str">
            <v>Jam</v>
          </cell>
        </row>
        <row r="1102">
          <cell r="D1102" t="str">
            <v>- Mandor</v>
          </cell>
          <cell r="E1102" t="str">
            <v>= (Tk x M) : Qt</v>
          </cell>
          <cell r="G1102" t="str">
            <v>(L03)</v>
          </cell>
          <cell r="H1102">
            <v>5.6697377746279237E-3</v>
          </cell>
          <cell r="I1102" t="str">
            <v>Jam</v>
          </cell>
        </row>
        <row r="1104">
          <cell r="A1104" t="str">
            <v>4.</v>
          </cell>
          <cell r="C1104" t="str">
            <v>HARGA DASAR SATUAN UPAH, BAHAN DAN ALAT</v>
          </cell>
        </row>
        <row r="1105">
          <cell r="C1105" t="str">
            <v>Lihat lampiran.</v>
          </cell>
        </row>
        <row r="1107">
          <cell r="A1107" t="str">
            <v>5.</v>
          </cell>
          <cell r="C1107" t="str">
            <v>ANALISA HARGA SATUAN PEKERJAAN</v>
          </cell>
        </row>
        <row r="1108">
          <cell r="C1108" t="str">
            <v>Lihat perhitungan dalam FORMULIR STANDAR UNTUK</v>
          </cell>
        </row>
        <row r="1109">
          <cell r="C1109" t="str">
            <v>PEREKEMAN ANALISA MASING-MASING HARGA</v>
          </cell>
        </row>
        <row r="1110">
          <cell r="C1110" t="str">
            <v>SATUAN.</v>
          </cell>
        </row>
        <row r="1111">
          <cell r="C1111" t="str">
            <v>Didapat Harga Satuan Pekerjaan :</v>
          </cell>
        </row>
        <row r="1113">
          <cell r="C1113" t="str">
            <v xml:space="preserve">Rp.  </v>
          </cell>
          <cell r="D1113">
            <v>3141.7696523411346</v>
          </cell>
          <cell r="E1113" t="str">
            <v xml:space="preserve"> / liter.</v>
          </cell>
        </row>
        <row r="1116">
          <cell r="A1116" t="str">
            <v>6.</v>
          </cell>
          <cell r="C1116" t="str">
            <v>WAKTU PELAKSANAAN YANG DIPERLUKAN</v>
          </cell>
        </row>
        <row r="1117">
          <cell r="C1117" t="str">
            <v>Waktu pelaksanaan</v>
          </cell>
          <cell r="D1117" t="str">
            <v>:  . . . . . . .  bulan</v>
          </cell>
        </row>
        <row r="1119">
          <cell r="A1119" t="str">
            <v>7.</v>
          </cell>
          <cell r="C1119" t="str">
            <v>VOLUME PEKERJAAN YANG DIPERLUKAN</v>
          </cell>
        </row>
        <row r="1120">
          <cell r="C1120" t="str">
            <v>Volume pekerjaan  :</v>
          </cell>
          <cell r="D1120">
            <v>1</v>
          </cell>
          <cell r="E1120" t="str">
            <v>Liter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>
        <row r="1">
          <cell r="A1" t="str">
            <v>ITEM PEMBAYARAN NO.</v>
          </cell>
          <cell r="D1" t="str">
            <v>:  5.1 (1)</v>
          </cell>
          <cell r="J1" t="str">
            <v>Analisa EI-511</v>
          </cell>
          <cell r="T1" t="str">
            <v>Analisa EI-511</v>
          </cell>
        </row>
        <row r="2">
          <cell r="A2" t="str">
            <v>JENIS PEKERJAAN</v>
          </cell>
          <cell r="D2" t="str">
            <v>:  Lps. Pond. Ag. Kls. A, CBR Min 80%</v>
          </cell>
        </row>
        <row r="3">
          <cell r="A3" t="str">
            <v>SATUAN PEMBAYARAN</v>
          </cell>
          <cell r="D3" t="str">
            <v>:  M3</v>
          </cell>
          <cell r="H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 t="str">
            <v xml:space="preserve">                                                                                                            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 xml:space="preserve">:  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 xml:space="preserve">:  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 xml:space="preserve">:  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 xml:space="preserve">:  </v>
          </cell>
        </row>
        <row r="12">
          <cell r="A12">
            <v>3</v>
          </cell>
          <cell r="C12" t="str">
            <v>Kondisi existing jalan : sedang</v>
          </cell>
          <cell r="L12" t="str">
            <v>ITEM PEMBAYARAN NO.</v>
          </cell>
          <cell r="O12" t="str">
            <v>:  5.1 (1)</v>
          </cell>
          <cell r="R12" t="str">
            <v>PERKIRAAN VOL. PEK.</v>
          </cell>
          <cell r="T12" t="str">
            <v>:</v>
          </cell>
          <cell r="U12">
            <v>1</v>
          </cell>
        </row>
        <row r="13">
          <cell r="A13">
            <v>4</v>
          </cell>
          <cell r="C13" t="str">
            <v>Jarak rata-rata Base Camp ke lokasi pekerjaan</v>
          </cell>
          <cell r="G13" t="str">
            <v>L</v>
          </cell>
          <cell r="H13">
            <v>8.7249999999999996</v>
          </cell>
          <cell r="I13" t="str">
            <v>KM</v>
          </cell>
          <cell r="L13" t="str">
            <v>JENIS PEKERJAAN</v>
          </cell>
          <cell r="O13" t="str">
            <v>:  Lps. Pond. Ag. Kls. A, CBR Min 80%</v>
          </cell>
          <cell r="R13" t="str">
            <v>TOTAL HARGA</v>
          </cell>
          <cell r="T13" t="str">
            <v>:</v>
          </cell>
          <cell r="U13">
            <v>304732.36582799954</v>
          </cell>
        </row>
        <row r="14">
          <cell r="A14">
            <v>5</v>
          </cell>
          <cell r="C14" t="str">
            <v>Tebal lapis agregat padat</v>
          </cell>
          <cell r="G14" t="str">
            <v>t</v>
          </cell>
          <cell r="H14">
            <v>0.15</v>
          </cell>
          <cell r="I14" t="str">
            <v>M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>
            <v>7.251312267724303E-3</v>
          </cell>
        </row>
        <row r="15">
          <cell r="A15">
            <v>6</v>
          </cell>
          <cell r="C15" t="str">
            <v>Faktor kembang material (Padat-Lepas)</v>
          </cell>
          <cell r="G15" t="str">
            <v>Fk</v>
          </cell>
          <cell r="H15">
            <v>1.2</v>
          </cell>
          <cell r="I15" t="str">
            <v>-</v>
          </cell>
        </row>
        <row r="16">
          <cell r="A16">
            <v>7</v>
          </cell>
          <cell r="C16" t="str">
            <v>Jam kerja efektif per-hari</v>
          </cell>
          <cell r="G16" t="str">
            <v>Tk</v>
          </cell>
          <cell r="H16">
            <v>7</v>
          </cell>
          <cell r="I16" t="str">
            <v>jam</v>
          </cell>
        </row>
        <row r="17">
          <cell r="A17">
            <v>8</v>
          </cell>
          <cell r="C17" t="str">
            <v>Proporsi Campuran :</v>
          </cell>
          <cell r="D17" t="str">
            <v>- Agregat Kasar</v>
          </cell>
          <cell r="G17" t="str">
            <v>Ak</v>
          </cell>
          <cell r="H17">
            <v>55</v>
          </cell>
          <cell r="I17" t="str">
            <v>%</v>
          </cell>
          <cell r="J17" t="str">
            <v xml:space="preserve"> Gradasi harus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D18" t="str">
            <v>- Agregat Halus</v>
          </cell>
          <cell r="G18" t="str">
            <v>Ah</v>
          </cell>
          <cell r="H18">
            <v>45</v>
          </cell>
          <cell r="I18" t="str">
            <v>%</v>
          </cell>
          <cell r="J18" t="str">
            <v xml:space="preserve"> memenuhi Spec.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 t="str">
            <v>II.</v>
          </cell>
          <cell r="C19" t="str">
            <v>URUTAN KERJA</v>
          </cell>
          <cell r="R19" t="str">
            <v>(Rp.)</v>
          </cell>
          <cell r="S19" t="str">
            <v>(Rp.)</v>
          </cell>
        </row>
        <row r="20">
          <cell r="A20">
            <v>1</v>
          </cell>
          <cell r="C20" t="str">
            <v>Wheel Loader mencampur dan memuat Agregat ke</v>
          </cell>
        </row>
        <row r="21">
          <cell r="C21" t="str">
            <v>dalam Dump Truck di Base Camp</v>
          </cell>
        </row>
        <row r="22">
          <cell r="A22">
            <v>2</v>
          </cell>
          <cell r="C22" t="str">
            <v>Dump Truck mengangkut Agregat ke lokasi</v>
          </cell>
          <cell r="L22" t="str">
            <v>A.</v>
          </cell>
          <cell r="N22" t="str">
            <v>TENAGA</v>
          </cell>
        </row>
        <row r="23">
          <cell r="C23" t="str">
            <v>pekerjaan dan dihampar dengan Motor Grader</v>
          </cell>
        </row>
        <row r="24">
          <cell r="A24">
            <v>3</v>
          </cell>
          <cell r="C24" t="str">
            <v>Hamparan Agregat dibasahi dengan Water Tank</v>
          </cell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0.24988844265952695</v>
          </cell>
          <cell r="R24">
            <v>2857.14</v>
          </cell>
          <cell r="U24">
            <v>713.96626506024074</v>
          </cell>
        </row>
        <row r="25">
          <cell r="C25" t="str">
            <v>Truck sebelum dipadatkan dengan Tandem</v>
          </cell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3.5698348951360995E-2</v>
          </cell>
          <cell r="R25">
            <v>3214.29</v>
          </cell>
          <cell r="U25">
            <v>114.74484605087014</v>
          </cell>
        </row>
        <row r="26">
          <cell r="C26" t="str">
            <v>Roller dan Pneumatic Tire Roller</v>
          </cell>
        </row>
        <row r="27">
          <cell r="A27">
            <v>4</v>
          </cell>
          <cell r="C27" t="str">
            <v>Selama pemadatan, sekelompok pekerja akan</v>
          </cell>
        </row>
        <row r="28">
          <cell r="C28" t="str">
            <v>merapikan tepi hamparan dan level permukaan</v>
          </cell>
          <cell r="Q28" t="str">
            <v xml:space="preserve">JUMLAH HARGA TENAGA   </v>
          </cell>
          <cell r="U28">
            <v>828.71111111111088</v>
          </cell>
        </row>
        <row r="29">
          <cell r="C29" t="str">
            <v>dengan menggunakan Alat Bantu</v>
          </cell>
        </row>
        <row r="30">
          <cell r="A30" t="str">
            <v>III.</v>
          </cell>
          <cell r="C30" t="str">
            <v>PEMAKAIAN BAHAN, ALAT DAN TENAGA</v>
          </cell>
          <cell r="L30" t="str">
            <v>B.</v>
          </cell>
          <cell r="N30" t="str">
            <v>BAHAN</v>
          </cell>
        </row>
        <row r="32">
          <cell r="A32" t="str">
            <v xml:space="preserve">   1.</v>
          </cell>
          <cell r="C32" t="str">
            <v>BAHAN</v>
          </cell>
          <cell r="L32" t="str">
            <v>1.</v>
          </cell>
          <cell r="N32" t="str">
            <v>Agregat Kasar   (M03)</v>
          </cell>
          <cell r="P32" t="str">
            <v>M3</v>
          </cell>
          <cell r="Q32">
            <v>0.66</v>
          </cell>
          <cell r="R32">
            <v>222345.54558042376</v>
          </cell>
          <cell r="U32">
            <v>146748.06008307968</v>
          </cell>
        </row>
        <row r="33">
          <cell r="C33" t="str">
            <v>- Agregat Kasar</v>
          </cell>
          <cell r="D33" t="str">
            <v>=  Ak x 1 M3 x Fk</v>
          </cell>
          <cell r="G33" t="str">
            <v>M03</v>
          </cell>
          <cell r="H33">
            <v>0.66</v>
          </cell>
          <cell r="I33" t="str">
            <v>M3</v>
          </cell>
          <cell r="L33" t="str">
            <v>2.</v>
          </cell>
          <cell r="N33" t="str">
            <v>Agregat Halus    (M04)</v>
          </cell>
          <cell r="P33" t="str">
            <v>M3</v>
          </cell>
          <cell r="Q33">
            <v>0.54</v>
          </cell>
          <cell r="R33">
            <v>194196.70775416915</v>
          </cell>
          <cell r="U33">
            <v>104866.22218725135</v>
          </cell>
        </row>
        <row r="34">
          <cell r="C34" t="str">
            <v>- Agregat Halus</v>
          </cell>
          <cell r="D34" t="str">
            <v>=  Ah x 1 M3 x Fk</v>
          </cell>
          <cell r="G34" t="str">
            <v>M04</v>
          </cell>
          <cell r="H34">
            <v>0.54</v>
          </cell>
          <cell r="I34" t="str">
            <v>M3</v>
          </cell>
        </row>
        <row r="36">
          <cell r="A36" t="str">
            <v xml:space="preserve">   2.</v>
          </cell>
          <cell r="C36" t="str">
            <v>ALAT</v>
          </cell>
        </row>
        <row r="37">
          <cell r="A37" t="str">
            <v xml:space="preserve">   2.a.</v>
          </cell>
          <cell r="C37" t="str">
            <v>WHEEL LOADER</v>
          </cell>
          <cell r="G37" t="str">
            <v>(E15)</v>
          </cell>
        </row>
        <row r="38">
          <cell r="C38" t="str">
            <v>Kapasitas bucket</v>
          </cell>
          <cell r="G38" t="str">
            <v>V</v>
          </cell>
          <cell r="H38">
            <v>1.5</v>
          </cell>
          <cell r="I38" t="str">
            <v>M3</v>
          </cell>
          <cell r="Q38" t="str">
            <v xml:space="preserve">JUMLAH HARGA BAHAN   </v>
          </cell>
          <cell r="U38">
            <v>251614.28227033102</v>
          </cell>
        </row>
        <row r="39">
          <cell r="C39" t="str">
            <v>Faktor bucket</v>
          </cell>
          <cell r="G39" t="str">
            <v>Fb</v>
          </cell>
          <cell r="H39">
            <v>0.9</v>
          </cell>
          <cell r="I39" t="str">
            <v>-</v>
          </cell>
        </row>
        <row r="40">
          <cell r="C40" t="str">
            <v>Faktor Efisiensi alat</v>
          </cell>
          <cell r="G40" t="str">
            <v>Fa</v>
          </cell>
          <cell r="H40">
            <v>0.83</v>
          </cell>
          <cell r="I40" t="str">
            <v>-</v>
          </cell>
          <cell r="L40" t="str">
            <v>C.</v>
          </cell>
          <cell r="N40" t="str">
            <v>PERALATAN</v>
          </cell>
        </row>
        <row r="41">
          <cell r="C41" t="str">
            <v>Waktu Siklus :</v>
          </cell>
          <cell r="G41" t="str">
            <v>Ts1</v>
          </cell>
          <cell r="L41" t="str">
            <v>1.</v>
          </cell>
          <cell r="N41" t="str">
            <v>Wheel Loader</v>
          </cell>
          <cell r="O41" t="str">
            <v>(E15)</v>
          </cell>
          <cell r="P41" t="str">
            <v>jam</v>
          </cell>
          <cell r="Q41">
            <v>3.5698348951360995E-2</v>
          </cell>
          <cell r="R41">
            <v>163808.13869490434</v>
          </cell>
          <cell r="U41">
            <v>5847.680096203635</v>
          </cell>
        </row>
        <row r="42">
          <cell r="C42" t="str">
            <v>- Mencampur</v>
          </cell>
          <cell r="G42" t="str">
            <v>T1</v>
          </cell>
          <cell r="H42">
            <v>1.5</v>
          </cell>
          <cell r="I42" t="str">
            <v>menit</v>
          </cell>
          <cell r="L42" t="str">
            <v>2.</v>
          </cell>
          <cell r="N42" t="str">
            <v>Dump Truck</v>
          </cell>
          <cell r="O42" t="str">
            <v>(E09)</v>
          </cell>
          <cell r="P42" t="str">
            <v>jam</v>
          </cell>
          <cell r="Q42">
            <v>0.14542063837680036</v>
          </cell>
          <cell r="R42">
            <v>70230.073977639215</v>
          </cell>
          <cell r="U42">
            <v>10212.90219107821</v>
          </cell>
        </row>
        <row r="43">
          <cell r="C43" t="str">
            <v>- Memuat dan lain-lain</v>
          </cell>
          <cell r="G43" t="str">
            <v>T2</v>
          </cell>
          <cell r="H43">
            <v>0.5</v>
          </cell>
          <cell r="I43" t="str">
            <v>menit</v>
          </cell>
          <cell r="L43" t="str">
            <v>3.</v>
          </cell>
          <cell r="N43" t="str">
            <v>Motor Grader</v>
          </cell>
          <cell r="O43" t="str">
            <v>(E13)</v>
          </cell>
          <cell r="P43" t="str">
            <v>jam</v>
          </cell>
          <cell r="Q43">
            <v>1.1713520749665328E-2</v>
          </cell>
          <cell r="R43">
            <v>201666.62574070093</v>
          </cell>
          <cell r="U43">
            <v>2362.2262051286921</v>
          </cell>
        </row>
        <row r="44">
          <cell r="G44" t="str">
            <v>Ts1</v>
          </cell>
          <cell r="H44">
            <v>2</v>
          </cell>
          <cell r="I44" t="str">
            <v>menit</v>
          </cell>
          <cell r="L44" t="str">
            <v>4.</v>
          </cell>
          <cell r="N44" t="str">
            <v>Vibratory Roller</v>
          </cell>
          <cell r="O44" t="str">
            <v>(E19)</v>
          </cell>
          <cell r="P44" t="str">
            <v>jam</v>
          </cell>
          <cell r="Q44">
            <v>1.7849174475680501E-2</v>
          </cell>
          <cell r="R44">
            <v>234734.82748629327</v>
          </cell>
          <cell r="U44">
            <v>4189.8228913216117</v>
          </cell>
        </row>
        <row r="45">
          <cell r="L45" t="str">
            <v>5.</v>
          </cell>
          <cell r="N45" t="str">
            <v>P. Tyre Roller</v>
          </cell>
          <cell r="O45" t="str">
            <v>(E18)</v>
          </cell>
          <cell r="P45" t="str">
            <v>jam</v>
          </cell>
          <cell r="Q45">
            <v>4.2838018741633201E-3</v>
          </cell>
          <cell r="R45">
            <v>113384.24751021285</v>
          </cell>
          <cell r="U45">
            <v>485.71565198484757</v>
          </cell>
        </row>
        <row r="46">
          <cell r="C46" t="str">
            <v>Kap. Prod. / jam =</v>
          </cell>
          <cell r="D46" t="str">
            <v>V x Fb x Fa x 60</v>
          </cell>
          <cell r="G46" t="str">
            <v>Q1</v>
          </cell>
          <cell r="H46">
            <v>28.012500000000003</v>
          </cell>
          <cell r="I46" t="str">
            <v>M3</v>
          </cell>
          <cell r="L46" t="str">
            <v>6.</v>
          </cell>
          <cell r="N46" t="str">
            <v>Water Tanker</v>
          </cell>
          <cell r="O46" t="str">
            <v>(E23)</v>
          </cell>
          <cell r="P46" t="str">
            <v>jam</v>
          </cell>
          <cell r="Q46">
            <v>2.1084337349397592E-2</v>
          </cell>
          <cell r="R46">
            <v>67020.510980434308</v>
          </cell>
          <cell r="U46">
            <v>1413.0830628404826</v>
          </cell>
        </row>
        <row r="47">
          <cell r="D47" t="str">
            <v>Fk x Ts1</v>
          </cell>
          <cell r="L47" t="str">
            <v>7.</v>
          </cell>
          <cell r="N47" t="str">
            <v>Alat Bantu</v>
          </cell>
          <cell r="P47" t="str">
            <v>Ls</v>
          </cell>
          <cell r="Q47">
            <v>1</v>
          </cell>
          <cell r="R47">
            <v>75</v>
          </cell>
          <cell r="U47">
            <v>75</v>
          </cell>
        </row>
        <row r="48">
          <cell r="C48" t="str">
            <v>Koefisien Alat / M3</v>
          </cell>
          <cell r="D48" t="str">
            <v xml:space="preserve"> =  1  :  Q1</v>
          </cell>
          <cell r="G48" t="str">
            <v>(E15)</v>
          </cell>
          <cell r="H48">
            <v>3.5698348951360995E-2</v>
          </cell>
          <cell r="I48" t="str">
            <v>jam</v>
          </cell>
        </row>
        <row r="49">
          <cell r="Q49" t="str">
            <v xml:space="preserve">JUMLAH HARGA PERALATAN   </v>
          </cell>
          <cell r="U49">
            <v>24586.430098557481</v>
          </cell>
        </row>
        <row r="50">
          <cell r="A50" t="str">
            <v xml:space="preserve">   2.b.</v>
          </cell>
          <cell r="C50" t="str">
            <v>DUMP TRUCK</v>
          </cell>
          <cell r="G50" t="str">
            <v>(E09)</v>
          </cell>
        </row>
        <row r="51">
          <cell r="C51" t="str">
            <v>Kapasitas bak</v>
          </cell>
          <cell r="G51" t="str">
            <v>V</v>
          </cell>
          <cell r="H51">
            <v>6</v>
          </cell>
          <cell r="I51" t="str">
            <v>M3</v>
          </cell>
          <cell r="L51" t="str">
            <v>D.</v>
          </cell>
          <cell r="N51" t="str">
            <v>JUMLAH HARGA TENAGA, BAHAN DAN PERALATAN  ( A + B + C )</v>
          </cell>
          <cell r="U51">
            <v>277029.42347999959</v>
          </cell>
        </row>
        <row r="52">
          <cell r="C52" t="str">
            <v>Faktor Efisiensi alat</v>
          </cell>
          <cell r="G52" t="str">
            <v>Fa</v>
          </cell>
          <cell r="H52">
            <v>0.83</v>
          </cell>
          <cell r="I52" t="str">
            <v>-</v>
          </cell>
          <cell r="L52" t="str">
            <v>E.</v>
          </cell>
          <cell r="N52" t="str">
            <v>OVERHEAD &amp; PROFIT</v>
          </cell>
          <cell r="P52">
            <v>10</v>
          </cell>
          <cell r="Q52" t="str">
            <v>%  x  D</v>
          </cell>
          <cell r="U52">
            <v>27702.94234799996</v>
          </cell>
        </row>
        <row r="53">
          <cell r="C53" t="str">
            <v>Kecepatan rata-rata bermuatan</v>
          </cell>
          <cell r="G53" t="str">
            <v>v1</v>
          </cell>
          <cell r="H53">
            <v>45</v>
          </cell>
          <cell r="I53" t="str">
            <v>KM/jam</v>
          </cell>
          <cell r="L53" t="str">
            <v>F.</v>
          </cell>
          <cell r="N53" t="str">
            <v>HARGA SATUAN PEKERJAAN  ( D + E )</v>
          </cell>
          <cell r="U53">
            <v>304732.36582799954</v>
          </cell>
        </row>
        <row r="54">
          <cell r="C54" t="str">
            <v>Kecepatan rata-rata kosong</v>
          </cell>
          <cell r="G54" t="str">
            <v>v2</v>
          </cell>
          <cell r="H54">
            <v>60</v>
          </cell>
          <cell r="I54" t="str">
            <v>KM/jam</v>
          </cell>
          <cell r="L54" t="str">
            <v>Note: 1</v>
          </cell>
          <cell r="N54" t="str">
            <v>SATUAN dapat berdasarkan atas jam operasi untuk Tenaga Kerja dan Peralatan, volume dan/atau ukuran</v>
          </cell>
        </row>
        <row r="55">
          <cell r="C55" t="str">
            <v>Waktu Siklus  :  - Waktu memuat = V : Q1 x 60</v>
          </cell>
          <cell r="G55" t="str">
            <v>T1</v>
          </cell>
          <cell r="H55">
            <v>12.851405622489958</v>
          </cell>
          <cell r="I55" t="str">
            <v>menit</v>
          </cell>
          <cell r="N55" t="str">
            <v>berat untuk bahan-bahan.</v>
          </cell>
        </row>
        <row r="56">
          <cell r="C56" t="str">
            <v>- Waktu tempuh isi  =  (L : v1) x 60 menit</v>
          </cell>
          <cell r="G56" t="str">
            <v>T2</v>
          </cell>
          <cell r="H56">
            <v>11.633333333333333</v>
          </cell>
          <cell r="I56" t="str">
            <v>menit</v>
          </cell>
          <cell r="L56">
            <v>2</v>
          </cell>
          <cell r="N56" t="str">
            <v>Kuantitas satuan adalah kuantitas setiap komponen untuk menyelesaikan satu satuan pekerjaan dari nomor</v>
          </cell>
        </row>
        <row r="57">
          <cell r="C57" t="str">
            <v>- Waktu tempuh kosong  =  (L : v2) x 60 menit</v>
          </cell>
          <cell r="G57" t="str">
            <v>T3</v>
          </cell>
          <cell r="H57">
            <v>8.7249999999999996</v>
          </cell>
          <cell r="I57" t="str">
            <v>menit</v>
          </cell>
          <cell r="N57" t="str">
            <v>mata pembayaran.</v>
          </cell>
        </row>
        <row r="58">
          <cell r="C58" t="str">
            <v>- Dump dan lain-lain</v>
          </cell>
          <cell r="G58" t="str">
            <v>T4</v>
          </cell>
          <cell r="H58">
            <v>3</v>
          </cell>
          <cell r="I58" t="str">
            <v>menit</v>
          </cell>
          <cell r="L58">
            <v>3</v>
          </cell>
          <cell r="N58" t="str">
            <v>Biaya satuan untuk peralatan sudah termasuk bahan bakar, bahan habis dipakai dan operator.</v>
          </cell>
        </row>
        <row r="59">
          <cell r="G59" t="str">
            <v>Ts2</v>
          </cell>
          <cell r="H59">
            <v>36.20973895582329</v>
          </cell>
          <cell r="I59" t="str">
            <v>menit</v>
          </cell>
          <cell r="L59">
            <v>4</v>
          </cell>
          <cell r="N59" t="str">
            <v>Biaya satuan sudah termasuk pengeluaran untuk seluruh pajak yang berkaitan (tetapi tidak termasuk PPN</v>
          </cell>
        </row>
        <row r="60">
          <cell r="N60" t="str">
            <v>yang dibayar dari kontrak) dan biaya-biaya lainnya.</v>
          </cell>
        </row>
        <row r="61">
          <cell r="J61" t="str">
            <v>Berlanjut ke hal. berikut</v>
          </cell>
        </row>
        <row r="62">
          <cell r="A62" t="str">
            <v>ITEM PEMBAYARAN NO.</v>
          </cell>
          <cell r="D62" t="str">
            <v>:  5.1 (1)</v>
          </cell>
          <cell r="J62" t="str">
            <v>Analisa EI-511</v>
          </cell>
        </row>
        <row r="63">
          <cell r="A63" t="str">
            <v>JENIS PEKERJAAN</v>
          </cell>
          <cell r="D63" t="str">
            <v>:  Lps. Pond. Ag. Kls. A, CBR Min 80%</v>
          </cell>
        </row>
        <row r="64">
          <cell r="A64" t="str">
            <v>SATUAN PEMBAYARAN</v>
          </cell>
          <cell r="D64" t="str">
            <v>:  M3</v>
          </cell>
          <cell r="H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>Kap. Prod. / jam =</v>
          </cell>
          <cell r="D70" t="str">
            <v>V x Fa x 60</v>
          </cell>
          <cell r="G70" t="str">
            <v>Q2</v>
          </cell>
          <cell r="H70">
            <v>6.8766030129017413</v>
          </cell>
          <cell r="I70" t="str">
            <v>M3</v>
          </cell>
        </row>
        <row r="71">
          <cell r="D71" t="str">
            <v>Fk x Ts2</v>
          </cell>
        </row>
        <row r="72">
          <cell r="C72" t="str">
            <v>Koefisien Alat / M3</v>
          </cell>
          <cell r="D72" t="str">
            <v xml:space="preserve"> =  1  :  Q2</v>
          </cell>
          <cell r="G72" t="str">
            <v>(E09)</v>
          </cell>
          <cell r="H72">
            <v>0.14542063837680036</v>
          </cell>
          <cell r="I72" t="str">
            <v>jam</v>
          </cell>
        </row>
        <row r="74">
          <cell r="A74" t="str">
            <v xml:space="preserve">   2.c.</v>
          </cell>
          <cell r="C74" t="str">
            <v>MOTOR GRADER</v>
          </cell>
          <cell r="G74" t="str">
            <v>(E13)</v>
          </cell>
        </row>
        <row r="75">
          <cell r="C75" t="str">
            <v>Panjang hamparan</v>
          </cell>
          <cell r="G75" t="str">
            <v>Lh</v>
          </cell>
          <cell r="H75">
            <v>50</v>
          </cell>
          <cell r="I75" t="str">
            <v>M</v>
          </cell>
        </row>
        <row r="76">
          <cell r="C76" t="str">
            <v>Lebar efektif kerja blade</v>
          </cell>
          <cell r="G76" t="str">
            <v>b</v>
          </cell>
          <cell r="H76">
            <v>2.4</v>
          </cell>
          <cell r="I76" t="str">
            <v>M</v>
          </cell>
        </row>
        <row r="77">
          <cell r="C77" t="str">
            <v>Faktor Efisiensi alat</v>
          </cell>
          <cell r="G77" t="str">
            <v>Fa</v>
          </cell>
          <cell r="H77">
            <v>0.83</v>
          </cell>
          <cell r="I77" t="str">
            <v>-</v>
          </cell>
        </row>
        <row r="78">
          <cell r="C78" t="str">
            <v>Kecepatan rata-rata alat</v>
          </cell>
          <cell r="G78" t="str">
            <v>v</v>
          </cell>
          <cell r="H78">
            <v>4</v>
          </cell>
          <cell r="I78" t="str">
            <v>KM/jam</v>
          </cell>
        </row>
        <row r="79">
          <cell r="C79" t="str">
            <v>Jumlah lintasan</v>
          </cell>
          <cell r="G79" t="str">
            <v>n</v>
          </cell>
          <cell r="H79">
            <v>6</v>
          </cell>
          <cell r="I79" t="str">
            <v>lintasan</v>
          </cell>
          <cell r="J79" t="str">
            <v xml:space="preserve"> 3 x pp</v>
          </cell>
        </row>
        <row r="80">
          <cell r="C80" t="str">
            <v>Waktu Siklus :</v>
          </cell>
          <cell r="G80" t="str">
            <v>Ts3</v>
          </cell>
        </row>
        <row r="81">
          <cell r="C81" t="str">
            <v>- Perataan 1 lintasan  =  Lh : (v x 1000) x 60</v>
          </cell>
          <cell r="G81" t="str">
            <v>T1</v>
          </cell>
          <cell r="H81">
            <v>0.75</v>
          </cell>
          <cell r="I81" t="str">
            <v>menit</v>
          </cell>
        </row>
        <row r="82">
          <cell r="C82" t="str">
            <v>- Lain-lain</v>
          </cell>
          <cell r="G82" t="str">
            <v>T2</v>
          </cell>
          <cell r="H82">
            <v>1</v>
          </cell>
          <cell r="I82" t="str">
            <v>menit</v>
          </cell>
        </row>
        <row r="83">
          <cell r="G83" t="str">
            <v>Ts3</v>
          </cell>
          <cell r="H83">
            <v>1.75</v>
          </cell>
          <cell r="I83" t="str">
            <v>menit</v>
          </cell>
        </row>
        <row r="85">
          <cell r="C85" t="str">
            <v>Kap. Prod. / jam =</v>
          </cell>
          <cell r="D85" t="str">
            <v>Lh x b x t x Fa x 60</v>
          </cell>
          <cell r="G85" t="str">
            <v>Q3</v>
          </cell>
          <cell r="H85">
            <v>85.371428571428567</v>
          </cell>
          <cell r="I85" t="str">
            <v>M3</v>
          </cell>
        </row>
        <row r="86">
          <cell r="D86" t="str">
            <v>n x Ts3</v>
          </cell>
        </row>
        <row r="87">
          <cell r="C87" t="str">
            <v>Koefisien Alat / M3</v>
          </cell>
          <cell r="D87" t="str">
            <v xml:space="preserve"> =  1  :  Q3</v>
          </cell>
          <cell r="G87" t="str">
            <v>(E13)</v>
          </cell>
          <cell r="H87">
            <v>1.1713520749665328E-2</v>
          </cell>
          <cell r="I87" t="str">
            <v>jam</v>
          </cell>
        </row>
        <row r="89">
          <cell r="A89" t="str">
            <v xml:space="preserve">   2.d.</v>
          </cell>
          <cell r="C89" t="str">
            <v>VIBRATORY ROLLER</v>
          </cell>
          <cell r="G89" t="str">
            <v>(E19)</v>
          </cell>
        </row>
        <row r="90">
          <cell r="C90" t="str">
            <v>Kecepatan rata-rata alat</v>
          </cell>
          <cell r="G90" t="str">
            <v>v</v>
          </cell>
          <cell r="H90">
            <v>3</v>
          </cell>
          <cell r="I90" t="str">
            <v>KM/jam</v>
          </cell>
        </row>
        <row r="91">
          <cell r="C91" t="str">
            <v>Lebar efektif pemadatan</v>
          </cell>
          <cell r="G91" t="str">
            <v>b</v>
          </cell>
          <cell r="H91">
            <v>1.2</v>
          </cell>
          <cell r="I91" t="str">
            <v>M</v>
          </cell>
        </row>
        <row r="92">
          <cell r="C92" t="str">
            <v>Jumlah lintasan</v>
          </cell>
          <cell r="G92" t="str">
            <v>n</v>
          </cell>
          <cell r="H92">
            <v>8</v>
          </cell>
          <cell r="I92" t="str">
            <v>lintasan</v>
          </cell>
        </row>
        <row r="93">
          <cell r="C93" t="str">
            <v>Faktor Efisiensi alat</v>
          </cell>
          <cell r="G93" t="str">
            <v>Fa</v>
          </cell>
          <cell r="H93">
            <v>0.83</v>
          </cell>
          <cell r="I93" t="str">
            <v>-</v>
          </cell>
        </row>
        <row r="95">
          <cell r="C95" t="str">
            <v>Kap. Prod. / jam =</v>
          </cell>
          <cell r="D95" t="str">
            <v>(v x 1000) x b x t x Fa</v>
          </cell>
          <cell r="G95" t="str">
            <v>Q4</v>
          </cell>
          <cell r="H95">
            <v>56.024999999999999</v>
          </cell>
          <cell r="I95" t="str">
            <v>M3</v>
          </cell>
        </row>
        <row r="96">
          <cell r="D96" t="str">
            <v>n</v>
          </cell>
        </row>
        <row r="97">
          <cell r="C97" t="str">
            <v>Koefisien Alat / M3</v>
          </cell>
          <cell r="D97" t="str">
            <v xml:space="preserve"> =  1  :  Q4</v>
          </cell>
          <cell r="G97" t="str">
            <v>(E19)</v>
          </cell>
          <cell r="H97">
            <v>1.7849174475680501E-2</v>
          </cell>
          <cell r="I97" t="str">
            <v>jam</v>
          </cell>
        </row>
        <row r="99">
          <cell r="A99" t="str">
            <v xml:space="preserve">   2.e.</v>
          </cell>
          <cell r="C99" t="str">
            <v>PNEUMATIC TIRE ROLLER</v>
          </cell>
          <cell r="G99" t="str">
            <v>(E18)</v>
          </cell>
        </row>
        <row r="100">
          <cell r="C100" t="str">
            <v>Kecepatan rata-rata alat</v>
          </cell>
          <cell r="G100" t="str">
            <v>v</v>
          </cell>
          <cell r="H100">
            <v>5</v>
          </cell>
          <cell r="I100" t="str">
            <v>KM/jam</v>
          </cell>
        </row>
        <row r="101">
          <cell r="C101" t="str">
            <v>Lebar efektif pemadatan</v>
          </cell>
          <cell r="G101" t="str">
            <v>b</v>
          </cell>
          <cell r="H101">
            <v>1.5</v>
          </cell>
          <cell r="I101" t="str">
            <v>M</v>
          </cell>
        </row>
        <row r="102">
          <cell r="C102" t="str">
            <v>Jumlah lintasan</v>
          </cell>
          <cell r="G102" t="str">
            <v>n</v>
          </cell>
          <cell r="H102">
            <v>4</v>
          </cell>
          <cell r="I102" t="str">
            <v>lintasan</v>
          </cell>
        </row>
        <row r="103">
          <cell r="C103" t="str">
            <v>Faktor Efisiensi alat</v>
          </cell>
          <cell r="G103" t="str">
            <v>Fa</v>
          </cell>
          <cell r="H103">
            <v>0.83</v>
          </cell>
          <cell r="I103" t="str">
            <v>-</v>
          </cell>
        </row>
        <row r="105">
          <cell r="C105" t="str">
            <v>Kap. Prod. / jam =</v>
          </cell>
          <cell r="D105" t="str">
            <v>(v x 1000) x b x t x Fa</v>
          </cell>
          <cell r="G105" t="str">
            <v>Q5</v>
          </cell>
          <cell r="H105">
            <v>233.4375</v>
          </cell>
          <cell r="I105" t="str">
            <v>M3</v>
          </cell>
        </row>
        <row r="106">
          <cell r="D106" t="str">
            <v>n</v>
          </cell>
        </row>
        <row r="107">
          <cell r="C107" t="str">
            <v>Koefisien Alat / M3</v>
          </cell>
          <cell r="D107" t="str">
            <v xml:space="preserve"> =  1  :  Q5</v>
          </cell>
          <cell r="G107" t="str">
            <v>(E18)</v>
          </cell>
          <cell r="H107">
            <v>4.2838018741633201E-3</v>
          </cell>
          <cell r="I107" t="str">
            <v>jam</v>
          </cell>
        </row>
        <row r="109">
          <cell r="A109" t="str">
            <v xml:space="preserve">   2.f.</v>
          </cell>
          <cell r="C109" t="str">
            <v>WATER TANK TRUCK</v>
          </cell>
          <cell r="G109" t="str">
            <v>(E23)</v>
          </cell>
        </row>
        <row r="110">
          <cell r="C110" t="str">
            <v>Volume tanki air</v>
          </cell>
          <cell r="G110" t="str">
            <v>V</v>
          </cell>
          <cell r="H110">
            <v>4</v>
          </cell>
          <cell r="I110" t="str">
            <v>M3</v>
          </cell>
        </row>
        <row r="111">
          <cell r="C111" t="str">
            <v>Kebutuhan air / M3 agregat padat</v>
          </cell>
          <cell r="G111" t="str">
            <v>Wc</v>
          </cell>
          <cell r="H111">
            <v>7.0000000000000007E-2</v>
          </cell>
          <cell r="I111" t="str">
            <v>M3</v>
          </cell>
        </row>
        <row r="112">
          <cell r="C112" t="str">
            <v>Pengisian tanki / jam</v>
          </cell>
          <cell r="G112" t="str">
            <v>n</v>
          </cell>
          <cell r="H112">
            <v>1</v>
          </cell>
          <cell r="I112" t="str">
            <v>kali</v>
          </cell>
        </row>
        <row r="113">
          <cell r="C113" t="str">
            <v>Faktor Efisiensi alat</v>
          </cell>
          <cell r="G113" t="str">
            <v>Fa</v>
          </cell>
          <cell r="H113">
            <v>0.83</v>
          </cell>
          <cell r="I113" t="str">
            <v>-</v>
          </cell>
        </row>
        <row r="115">
          <cell r="C115" t="str">
            <v>Kap. Prod. / jam =</v>
          </cell>
          <cell r="D115" t="str">
            <v>V x n x Fa</v>
          </cell>
          <cell r="G115" t="str">
            <v>Q6</v>
          </cell>
          <cell r="H115">
            <v>47.428571428571423</v>
          </cell>
          <cell r="I115" t="str">
            <v>M3</v>
          </cell>
        </row>
        <row r="116">
          <cell r="D116" t="str">
            <v>Wc</v>
          </cell>
        </row>
        <row r="117">
          <cell r="C117" t="str">
            <v>Koefisien Alat / M3</v>
          </cell>
          <cell r="D117" t="str">
            <v xml:space="preserve"> =  1  :  Q6</v>
          </cell>
          <cell r="G117" t="str">
            <v>(E23)</v>
          </cell>
          <cell r="H117">
            <v>2.1084337349397592E-2</v>
          </cell>
          <cell r="I117" t="str">
            <v>jam</v>
          </cell>
        </row>
        <row r="120">
          <cell r="J120" t="str">
            <v>Berlanjut ke hal. berikut</v>
          </cell>
        </row>
        <row r="121">
          <cell r="A121" t="str">
            <v>ITEM PEMBAYARAN NO.</v>
          </cell>
          <cell r="D121" t="str">
            <v>:  5.1 (1)</v>
          </cell>
          <cell r="J121" t="str">
            <v>Analisa EI-511</v>
          </cell>
        </row>
        <row r="122">
          <cell r="A122" t="str">
            <v>JENIS PEKERJAAN</v>
          </cell>
          <cell r="D122" t="str">
            <v>:  Lps. Pond. Ag. Kls. A, CBR Min 80%</v>
          </cell>
        </row>
        <row r="123">
          <cell r="A123" t="str">
            <v>SATUAN PEMBAYARAN</v>
          </cell>
          <cell r="D123" t="str">
            <v>:  M3</v>
          </cell>
          <cell r="H123" t="str">
            <v xml:space="preserve">         URAIAN ANALISA HARGA SATUAN</v>
          </cell>
        </row>
        <row r="124">
          <cell r="J124" t="str">
            <v>Lanjutan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9">
          <cell r="A129" t="str">
            <v xml:space="preserve">   2.g.</v>
          </cell>
          <cell r="C129" t="str">
            <v>ALAT BANTU</v>
          </cell>
          <cell r="J129" t="str">
            <v xml:space="preserve"> Lump Sum</v>
          </cell>
        </row>
        <row r="130">
          <cell r="C130" t="str">
            <v>Diperlukan   :</v>
          </cell>
        </row>
        <row r="131">
          <cell r="C131" t="str">
            <v>- Kereta dorong</v>
          </cell>
          <cell r="D131" t="str">
            <v>=  2  buah.</v>
          </cell>
        </row>
        <row r="132">
          <cell r="C132" t="str">
            <v>- Sekop</v>
          </cell>
          <cell r="D132" t="str">
            <v>=  3  buah.</v>
          </cell>
        </row>
        <row r="133">
          <cell r="C133" t="str">
            <v>- Garpu</v>
          </cell>
          <cell r="D133" t="str">
            <v>=  2  buah.</v>
          </cell>
        </row>
        <row r="135">
          <cell r="A135" t="str">
            <v xml:space="preserve">   3.</v>
          </cell>
          <cell r="C135" t="str">
            <v>TENAGA</v>
          </cell>
        </row>
        <row r="136">
          <cell r="C136" t="str">
            <v>Produksi menentukan : WHEEL LOADER</v>
          </cell>
          <cell r="G136" t="str">
            <v>Q1</v>
          </cell>
          <cell r="H136">
            <v>28.012500000000003</v>
          </cell>
          <cell r="I136" t="str">
            <v>M3/jam</v>
          </cell>
        </row>
        <row r="137">
          <cell r="C137" t="str">
            <v>Produksi agregat / hari  =  Tk x Q1</v>
          </cell>
          <cell r="G137" t="str">
            <v>Qt</v>
          </cell>
          <cell r="H137">
            <v>196.08750000000003</v>
          </cell>
          <cell r="I137" t="str">
            <v>M3</v>
          </cell>
        </row>
        <row r="138">
          <cell r="C138" t="str">
            <v>Kebutuhan tenaga :</v>
          </cell>
        </row>
        <row r="139">
          <cell r="D139" t="str">
            <v>- Pekerja</v>
          </cell>
          <cell r="G139" t="str">
            <v>P</v>
          </cell>
          <cell r="H139">
            <v>7</v>
          </cell>
          <cell r="I139" t="str">
            <v>orang</v>
          </cell>
        </row>
        <row r="140">
          <cell r="D140" t="str">
            <v>- Mandor</v>
          </cell>
          <cell r="G140" t="str">
            <v>M</v>
          </cell>
          <cell r="H140">
            <v>1</v>
          </cell>
          <cell r="I140" t="str">
            <v>orang</v>
          </cell>
        </row>
        <row r="142">
          <cell r="C142" t="str">
            <v>Koefisien tenaga / M3   :</v>
          </cell>
        </row>
        <row r="143">
          <cell r="D143" t="str">
            <v>- Pekerja</v>
          </cell>
          <cell r="E143" t="str">
            <v>= (Tk x P) : Qt</v>
          </cell>
          <cell r="G143" t="str">
            <v>(L01)</v>
          </cell>
          <cell r="H143">
            <v>0.24988844265952695</v>
          </cell>
          <cell r="I143" t="str">
            <v>jam</v>
          </cell>
        </row>
        <row r="144">
          <cell r="D144" t="str">
            <v>- Mandor</v>
          </cell>
          <cell r="E144" t="str">
            <v>= (Tk x M) : Qt</v>
          </cell>
          <cell r="G144" t="str">
            <v>(L03)</v>
          </cell>
          <cell r="H144">
            <v>3.5698348951360995E-2</v>
          </cell>
          <cell r="I144" t="str">
            <v>jam</v>
          </cell>
        </row>
        <row r="146">
          <cell r="A146" t="str">
            <v>4.</v>
          </cell>
          <cell r="C146" t="str">
            <v>HARGA DASAR SATUAN UPAH, BAHAN DAN ALAT</v>
          </cell>
        </row>
        <row r="147">
          <cell r="C147" t="str">
            <v>Lihat lampiran.</v>
          </cell>
        </row>
        <row r="149">
          <cell r="A149" t="str">
            <v>5.</v>
          </cell>
          <cell r="C149" t="str">
            <v>ANALISA HARGA SATUAN PEKERJAAN</v>
          </cell>
        </row>
        <row r="150">
          <cell r="C150" t="str">
            <v>Lihat perhitungan dalam FORMULIR STANDAR UNTUK</v>
          </cell>
        </row>
        <row r="151">
          <cell r="C151" t="str">
            <v>PEREKAMAN ANALISA MASING-MASING HARGA</v>
          </cell>
        </row>
        <row r="152">
          <cell r="C152" t="str">
            <v>SATUAN.</v>
          </cell>
        </row>
        <row r="153">
          <cell r="C153" t="str">
            <v>Didapat Harga Satuan Pekerjaan :</v>
          </cell>
        </row>
        <row r="155">
          <cell r="C155" t="str">
            <v xml:space="preserve">Rp.  </v>
          </cell>
          <cell r="D155">
            <v>304732.36582799954</v>
          </cell>
          <cell r="E155" t="str">
            <v xml:space="preserve"> / M3.</v>
          </cell>
        </row>
        <row r="158">
          <cell r="A158" t="str">
            <v>6.</v>
          </cell>
          <cell r="C158" t="str">
            <v>WAKTU PELAKSANAAN YANG DIPERLUKAN</v>
          </cell>
        </row>
        <row r="159">
          <cell r="C159" t="str">
            <v>Masa Pelaksanaan :</v>
          </cell>
          <cell r="D159" t="str">
            <v>. . . . . . . . . . . .</v>
          </cell>
          <cell r="E159" t="str">
            <v>bulan</v>
          </cell>
        </row>
        <row r="161">
          <cell r="A161" t="str">
            <v>7.</v>
          </cell>
          <cell r="C161" t="str">
            <v>VOLUME PEKERJAAN YANG DIPERLUKAN</v>
          </cell>
        </row>
        <row r="162">
          <cell r="C162" t="str">
            <v>Volume pekerjaan  :</v>
          </cell>
          <cell r="D162">
            <v>1</v>
          </cell>
          <cell r="E162" t="str">
            <v>M3</v>
          </cell>
        </row>
        <row r="180">
          <cell r="A180" t="str">
            <v>ITEM PEMBAYARAN NO.</v>
          </cell>
          <cell r="D180" t="str">
            <v>:  5.1 (2)</v>
          </cell>
          <cell r="J180" t="str">
            <v>Analisa EI-512</v>
          </cell>
          <cell r="T180" t="str">
            <v>Analisa EI-512</v>
          </cell>
        </row>
        <row r="181">
          <cell r="A181" t="str">
            <v>JENIS PEKERJAAN</v>
          </cell>
          <cell r="D181" t="str">
            <v>:  Lps. Pond. Ag. Kls. B, CBR Min 35%</v>
          </cell>
        </row>
        <row r="182">
          <cell r="A182" t="str">
            <v>SATUAN PEMBAYARAN</v>
          </cell>
          <cell r="D182" t="str">
            <v>:  M3</v>
          </cell>
          <cell r="H182" t="str">
            <v xml:space="preserve">         URAIAN ANALISA HARGA SATUAN</v>
          </cell>
          <cell r="L182" t="str">
            <v>FORMULIR STANDAR UNTUK</v>
          </cell>
        </row>
        <row r="183">
          <cell r="L183" t="str">
            <v>PEREKAMAN ANALISA MASING-MASING HARGA SATUAN</v>
          </cell>
        </row>
        <row r="184">
          <cell r="L184" t="str">
            <v xml:space="preserve">                                                                                                            </v>
          </cell>
        </row>
        <row r="185">
          <cell r="A185" t="str">
            <v>No.</v>
          </cell>
          <cell r="C185" t="str">
            <v>U R A I A N</v>
          </cell>
          <cell r="G185" t="str">
            <v>KODE</v>
          </cell>
          <cell r="H185" t="str">
            <v>KOEF.</v>
          </cell>
          <cell r="I185" t="str">
            <v>SATUAN</v>
          </cell>
          <cell r="J185" t="str">
            <v>KETERANGAN</v>
          </cell>
        </row>
        <row r="187">
          <cell r="L187" t="str">
            <v>PROYEK</v>
          </cell>
          <cell r="O187" t="str">
            <v xml:space="preserve">:  </v>
          </cell>
        </row>
        <row r="188">
          <cell r="A188" t="str">
            <v>I.</v>
          </cell>
          <cell r="C188" t="str">
            <v>ASUMSI</v>
          </cell>
          <cell r="L188" t="str">
            <v>No. PAKET KONTRAK</v>
          </cell>
          <cell r="O188" t="str">
            <v xml:space="preserve">:  </v>
          </cell>
        </row>
        <row r="189">
          <cell r="A189">
            <v>1</v>
          </cell>
          <cell r="C189" t="str">
            <v>Menggunakan alat berat (cara mekanik)</v>
          </cell>
          <cell r="L189" t="str">
            <v>NAMA PAKET</v>
          </cell>
          <cell r="O189" t="str">
            <v xml:space="preserve">:  </v>
          </cell>
        </row>
        <row r="190">
          <cell r="A190">
            <v>2</v>
          </cell>
          <cell r="C190" t="str">
            <v>Lokasi pekerjaan : sepanjang jalan</v>
          </cell>
          <cell r="L190" t="str">
            <v>PROP / KAB / KODYA</v>
          </cell>
          <cell r="O190" t="str">
            <v xml:space="preserve">:  </v>
          </cell>
        </row>
        <row r="191">
          <cell r="A191">
            <v>3</v>
          </cell>
          <cell r="C191" t="str">
            <v>Kondisi existing jalan : sedang</v>
          </cell>
          <cell r="L191" t="str">
            <v>ITEM PEMBAYARAN NO.</v>
          </cell>
          <cell r="O191" t="str">
            <v>:  5.1 (2)</v>
          </cell>
          <cell r="R191" t="str">
            <v>PERKIRAAN VOL. PEK.</v>
          </cell>
          <cell r="T191" t="str">
            <v>:</v>
          </cell>
          <cell r="U191">
            <v>1</v>
          </cell>
        </row>
        <row r="192">
          <cell r="A192">
            <v>4</v>
          </cell>
          <cell r="C192" t="str">
            <v>Jarak rata-rata Base Camp ke lokasi pekerjaan</v>
          </cell>
          <cell r="G192" t="str">
            <v>L</v>
          </cell>
          <cell r="H192">
            <v>8.7249999999999996</v>
          </cell>
          <cell r="I192" t="str">
            <v>KM</v>
          </cell>
          <cell r="L192" t="str">
            <v>JENIS PEKERJAAN</v>
          </cell>
          <cell r="O192" t="str">
            <v>:  Lps. Pond. Ag. Kls. B, CBR Min 35%</v>
          </cell>
          <cell r="R192" t="str">
            <v>TOTAL HARGA</v>
          </cell>
          <cell r="T192" t="str">
            <v>:</v>
          </cell>
          <cell r="U192">
            <v>339061.22823589185</v>
          </cell>
        </row>
        <row r="193">
          <cell r="A193">
            <v>5</v>
          </cell>
          <cell r="C193" t="str">
            <v>Tebal lapis agregat padat</v>
          </cell>
          <cell r="G193" t="str">
            <v>t</v>
          </cell>
          <cell r="H193">
            <v>0.15</v>
          </cell>
          <cell r="I193" t="str">
            <v>M</v>
          </cell>
          <cell r="L193" t="str">
            <v>SATUAN PEMBAYARAN</v>
          </cell>
          <cell r="O193" t="str">
            <v>:  M3</v>
          </cell>
          <cell r="R193" t="str">
            <v>% THD. BIAYA PROYEK</v>
          </cell>
          <cell r="T193" t="str">
            <v>:</v>
          </cell>
          <cell r="U193">
            <v>8.0681907126475844E-3</v>
          </cell>
        </row>
        <row r="194">
          <cell r="A194">
            <v>6</v>
          </cell>
          <cell r="C194" t="str">
            <v>Faktor kembang material (Padat-Lepas)</v>
          </cell>
          <cell r="G194" t="str">
            <v>Fk</v>
          </cell>
          <cell r="H194">
            <v>1.2</v>
          </cell>
          <cell r="I194" t="str">
            <v>-</v>
          </cell>
        </row>
        <row r="195">
          <cell r="A195">
            <v>7</v>
          </cell>
          <cell r="C195" t="str">
            <v>Jam kerja efektif per-hari</v>
          </cell>
          <cell r="G195" t="str">
            <v>Tk</v>
          </cell>
          <cell r="H195">
            <v>7</v>
          </cell>
          <cell r="I195" t="str">
            <v>jam</v>
          </cell>
        </row>
        <row r="196">
          <cell r="A196">
            <v>8</v>
          </cell>
          <cell r="C196" t="str">
            <v>Proporsi Campuran :</v>
          </cell>
          <cell r="D196" t="str">
            <v>- Agregat Kasar</v>
          </cell>
          <cell r="G196" t="str">
            <v>Ak</v>
          </cell>
          <cell r="H196">
            <v>35</v>
          </cell>
          <cell r="I196" t="str">
            <v>%</v>
          </cell>
          <cell r="J196" t="str">
            <v xml:space="preserve"> Gradasi harus</v>
          </cell>
          <cell r="Q196" t="str">
            <v>PERKIRAAN</v>
          </cell>
          <cell r="R196" t="str">
            <v>HARGA</v>
          </cell>
          <cell r="S196" t="str">
            <v>JUMLAH</v>
          </cell>
        </row>
        <row r="197">
          <cell r="D197" t="str">
            <v>- Agregat Halus</v>
          </cell>
          <cell r="G197" t="str">
            <v>Ah</v>
          </cell>
          <cell r="H197">
            <v>20</v>
          </cell>
          <cell r="I197" t="str">
            <v>%</v>
          </cell>
          <cell r="J197" t="str">
            <v xml:space="preserve"> memenuhi</v>
          </cell>
          <cell r="L197" t="str">
            <v>NO.</v>
          </cell>
          <cell r="N197" t="str">
            <v>KOMPONEN</v>
          </cell>
          <cell r="P197" t="str">
            <v>SATUAN</v>
          </cell>
          <cell r="Q197" t="str">
            <v>KUANTITAS</v>
          </cell>
          <cell r="R197" t="str">
            <v>SATUAN</v>
          </cell>
          <cell r="S197" t="str">
            <v>HARGA</v>
          </cell>
        </row>
        <row r="198">
          <cell r="D198" t="str">
            <v>- Sirtu</v>
          </cell>
          <cell r="G198" t="str">
            <v>St</v>
          </cell>
          <cell r="H198">
            <v>45</v>
          </cell>
          <cell r="I198" t="str">
            <v>%</v>
          </cell>
          <cell r="J198" t="str">
            <v xml:space="preserve"> Spesifikasi</v>
          </cell>
          <cell r="R198" t="str">
            <v>(Rp.)</v>
          </cell>
          <cell r="S198" t="str">
            <v>(Rp.)</v>
          </cell>
        </row>
        <row r="199">
          <cell r="A199" t="str">
            <v>II.</v>
          </cell>
          <cell r="C199" t="str">
            <v>URUTAN KERJA</v>
          </cell>
        </row>
        <row r="200">
          <cell r="A200">
            <v>1</v>
          </cell>
          <cell r="C200" t="str">
            <v>Wheel Loader mencampur dan memuat Agregat ke</v>
          </cell>
        </row>
        <row r="201">
          <cell r="C201" t="str">
            <v>dalam Dump Truck di Base Camp</v>
          </cell>
          <cell r="L201" t="str">
            <v>A.</v>
          </cell>
          <cell r="N201" t="str">
            <v>TENAGA</v>
          </cell>
        </row>
        <row r="202">
          <cell r="A202">
            <v>2</v>
          </cell>
          <cell r="C202" t="str">
            <v>Dump Truck mengangkut Agregat ke lokasi</v>
          </cell>
        </row>
        <row r="203">
          <cell r="C203" t="str">
            <v>pekerjaan dan dihampar dengan Motor Grader</v>
          </cell>
          <cell r="L203" t="str">
            <v>1.</v>
          </cell>
          <cell r="N203" t="str">
            <v>Pekerja</v>
          </cell>
          <cell r="O203" t="str">
            <v>(L01)</v>
          </cell>
          <cell r="P203" t="str">
            <v>jam</v>
          </cell>
          <cell r="Q203">
            <v>0.24988844265952695</v>
          </cell>
          <cell r="R203">
            <v>2857.14</v>
          </cell>
          <cell r="U203">
            <v>713.96626506024074</v>
          </cell>
        </row>
        <row r="204">
          <cell r="A204">
            <v>3</v>
          </cell>
          <cell r="C204" t="str">
            <v>Hamparan Agregat dibasahi dengan Water Tank</v>
          </cell>
          <cell r="L204" t="str">
            <v>2.</v>
          </cell>
          <cell r="N204" t="str">
            <v>Mandor</v>
          </cell>
          <cell r="O204" t="str">
            <v>(L03)</v>
          </cell>
          <cell r="P204" t="str">
            <v>jam</v>
          </cell>
          <cell r="Q204">
            <v>3.5698348951360995E-2</v>
          </cell>
          <cell r="R204">
            <v>3214.29</v>
          </cell>
          <cell r="U204">
            <v>114.74484605087014</v>
          </cell>
        </row>
        <row r="205">
          <cell r="C205" t="str">
            <v>Truck sebelum dipadatkan dengan Tandem</v>
          </cell>
        </row>
        <row r="206">
          <cell r="C206" t="str">
            <v>Roller dan Pneumatic Tire Roller</v>
          </cell>
        </row>
        <row r="207">
          <cell r="A207">
            <v>4</v>
          </cell>
          <cell r="C207" t="str">
            <v>Selama pemadatan, sekelompok pekerja akan</v>
          </cell>
          <cell r="Q207" t="str">
            <v xml:space="preserve">JUMLAH HARGA TENAGA   </v>
          </cell>
          <cell r="U207">
            <v>828.71111111111088</v>
          </cell>
        </row>
        <row r="208">
          <cell r="C208" t="str">
            <v>merapikan tepi hamparan dan level permukaan</v>
          </cell>
        </row>
        <row r="209">
          <cell r="C209" t="str">
            <v>dengan menggunakan Alat Bantu</v>
          </cell>
          <cell r="L209" t="str">
            <v>B.</v>
          </cell>
          <cell r="N209" t="str">
            <v>BAHAN</v>
          </cell>
        </row>
        <row r="210">
          <cell r="A210" t="str">
            <v>III.</v>
          </cell>
          <cell r="C210" t="str">
            <v>PEMAKAIAN BAHAN, ALAT DAN TENAGA</v>
          </cell>
        </row>
        <row r="211">
          <cell r="A211" t="str">
            <v xml:space="preserve">   1.</v>
          </cell>
          <cell r="C211" t="str">
            <v>BAHAN</v>
          </cell>
          <cell r="L211" t="str">
            <v>1.</v>
          </cell>
          <cell r="N211" t="str">
            <v>Agregat Kasar   (M03)</v>
          </cell>
          <cell r="P211" t="str">
            <v>M3</v>
          </cell>
          <cell r="Q211">
            <v>0.42</v>
          </cell>
          <cell r="R211">
            <v>222345.54558042376</v>
          </cell>
          <cell r="U211">
            <v>93385.129143777973</v>
          </cell>
        </row>
        <row r="212">
          <cell r="C212" t="str">
            <v>- Agregat Kasar</v>
          </cell>
          <cell r="D212" t="str">
            <v>=  Ak x 1 M3 x Fk</v>
          </cell>
          <cell r="G212" t="str">
            <v>M03</v>
          </cell>
          <cell r="H212">
            <v>0.42</v>
          </cell>
          <cell r="I212" t="str">
            <v>M3</v>
          </cell>
          <cell r="L212" t="str">
            <v>2.</v>
          </cell>
          <cell r="N212" t="str">
            <v>Agregat Halus    (M04)</v>
          </cell>
          <cell r="P212" t="str">
            <v>M3</v>
          </cell>
          <cell r="Q212">
            <v>0.24</v>
          </cell>
          <cell r="R212">
            <v>194196.70775416915</v>
          </cell>
          <cell r="U212">
            <v>46607.209861000592</v>
          </cell>
        </row>
        <row r="213">
          <cell r="C213" t="str">
            <v>- Agregat Halus</v>
          </cell>
          <cell r="D213" t="str">
            <v>=  Ah x 1 M3 x Fk</v>
          </cell>
          <cell r="G213" t="str">
            <v>M04</v>
          </cell>
          <cell r="H213">
            <v>0.24</v>
          </cell>
          <cell r="I213" t="str">
            <v>M3</v>
          </cell>
          <cell r="L213" t="str">
            <v>3.</v>
          </cell>
          <cell r="N213" t="str">
            <v>Sirtu</v>
          </cell>
          <cell r="O213" t="str">
            <v>(M16)</v>
          </cell>
          <cell r="P213" t="str">
            <v>M3</v>
          </cell>
          <cell r="Q213">
            <v>0.54</v>
          </cell>
          <cell r="R213">
            <v>264500</v>
          </cell>
          <cell r="U213">
            <v>142830</v>
          </cell>
        </row>
        <row r="214">
          <cell r="C214" t="str">
            <v>- Sirtu</v>
          </cell>
          <cell r="D214" t="str">
            <v>=  St x 1 M3 x Fk</v>
          </cell>
          <cell r="G214" t="str">
            <v>M16</v>
          </cell>
          <cell r="H214">
            <v>0.54</v>
          </cell>
          <cell r="I214" t="str">
            <v>M3</v>
          </cell>
        </row>
        <row r="215">
          <cell r="A215" t="str">
            <v xml:space="preserve">   2.</v>
          </cell>
          <cell r="C215" t="str">
            <v>ALAT</v>
          </cell>
        </row>
        <row r="216">
          <cell r="A216" t="str">
            <v xml:space="preserve">   2.a.</v>
          </cell>
          <cell r="C216" t="str">
            <v>WHEEL LOADER</v>
          </cell>
          <cell r="G216" t="str">
            <v>(E15)</v>
          </cell>
        </row>
        <row r="217">
          <cell r="C217" t="str">
            <v>Kapasitas bucket</v>
          </cell>
          <cell r="G217" t="str">
            <v>V</v>
          </cell>
          <cell r="H217">
            <v>1.5</v>
          </cell>
          <cell r="I217" t="str">
            <v>M3</v>
          </cell>
          <cell r="Q217" t="str">
            <v xml:space="preserve">JUMLAH HARGA BAHAN   </v>
          </cell>
          <cell r="U217">
            <v>282822.33900477854</v>
          </cell>
        </row>
        <row r="218">
          <cell r="C218" t="str">
            <v>Faktor bucket</v>
          </cell>
          <cell r="G218" t="str">
            <v>Fb</v>
          </cell>
          <cell r="H218">
            <v>0.9</v>
          </cell>
          <cell r="I218" t="str">
            <v>-</v>
          </cell>
        </row>
        <row r="219">
          <cell r="C219" t="str">
            <v>Faktor Efisiensi alat</v>
          </cell>
          <cell r="G219" t="str">
            <v>Fa</v>
          </cell>
          <cell r="H219">
            <v>0.83</v>
          </cell>
          <cell r="I219" t="str">
            <v>-</v>
          </cell>
          <cell r="L219" t="str">
            <v>C.</v>
          </cell>
          <cell r="N219" t="str">
            <v>PERALATAN</v>
          </cell>
        </row>
        <row r="220">
          <cell r="C220" t="str">
            <v>Waktu Siklus :</v>
          </cell>
          <cell r="G220" t="str">
            <v>Ts1</v>
          </cell>
          <cell r="L220" t="str">
            <v>1.</v>
          </cell>
          <cell r="N220" t="str">
            <v>Wheel Loader</v>
          </cell>
          <cell r="O220" t="str">
            <v>(E15)</v>
          </cell>
          <cell r="P220" t="str">
            <v>jam</v>
          </cell>
          <cell r="Q220">
            <v>3.5698348951360995E-2</v>
          </cell>
          <cell r="R220">
            <v>163808.13869490434</v>
          </cell>
          <cell r="U220">
            <v>5847.680096203635</v>
          </cell>
        </row>
        <row r="221">
          <cell r="C221" t="str">
            <v>- Mencampur</v>
          </cell>
          <cell r="G221" t="str">
            <v>T1</v>
          </cell>
          <cell r="H221">
            <v>1.5</v>
          </cell>
          <cell r="I221" t="str">
            <v>menit</v>
          </cell>
          <cell r="L221" t="str">
            <v>2.</v>
          </cell>
          <cell r="N221" t="str">
            <v>Dump Truck</v>
          </cell>
          <cell r="O221" t="str">
            <v>(E09)</v>
          </cell>
          <cell r="P221" t="str">
            <v>jam</v>
          </cell>
          <cell r="Q221">
            <v>0.14542063837680036</v>
          </cell>
          <cell r="R221">
            <v>70230.073977639215</v>
          </cell>
          <cell r="U221">
            <v>10212.90219107821</v>
          </cell>
        </row>
        <row r="222">
          <cell r="C222" t="str">
            <v>- Memuat dan lain-lain</v>
          </cell>
          <cell r="G222" t="str">
            <v>T2</v>
          </cell>
          <cell r="H222">
            <v>0.5</v>
          </cell>
          <cell r="I222" t="str">
            <v>menit</v>
          </cell>
          <cell r="L222" t="str">
            <v>3.</v>
          </cell>
          <cell r="N222" t="str">
            <v>Motor Grader</v>
          </cell>
          <cell r="O222" t="str">
            <v>(E13)</v>
          </cell>
          <cell r="P222" t="str">
            <v>jam</v>
          </cell>
          <cell r="Q222">
            <v>1.1713520749665328E-2</v>
          </cell>
          <cell r="R222">
            <v>201666.62574070093</v>
          </cell>
          <cell r="U222">
            <v>2362.2262051286921</v>
          </cell>
        </row>
        <row r="223">
          <cell r="G223" t="str">
            <v>Ts1</v>
          </cell>
          <cell r="H223">
            <v>2</v>
          </cell>
          <cell r="I223" t="str">
            <v>menit</v>
          </cell>
          <cell r="L223" t="str">
            <v>4.</v>
          </cell>
          <cell r="N223" t="str">
            <v>Vibratory Roller</v>
          </cell>
          <cell r="O223" t="str">
            <v>(E19)</v>
          </cell>
          <cell r="P223" t="str">
            <v>jam</v>
          </cell>
          <cell r="Q223">
            <v>1.7849174475680501E-2</v>
          </cell>
          <cell r="R223">
            <v>234734.82748629327</v>
          </cell>
          <cell r="U223">
            <v>4189.8228913216117</v>
          </cell>
        </row>
        <row r="224">
          <cell r="L224" t="str">
            <v>5.</v>
          </cell>
          <cell r="N224" t="str">
            <v>P. Tyre Roller</v>
          </cell>
          <cell r="O224" t="str">
            <v>(E18)</v>
          </cell>
          <cell r="P224" t="str">
            <v>jam</v>
          </cell>
          <cell r="Q224">
            <v>4.2838018741633201E-3</v>
          </cell>
          <cell r="R224">
            <v>113384.24751021285</v>
          </cell>
          <cell r="U224">
            <v>485.71565198484757</v>
          </cell>
        </row>
        <row r="225">
          <cell r="C225" t="str">
            <v>Kap. Prod. / jam =</v>
          </cell>
          <cell r="D225" t="str">
            <v>V x Fb x Fa x 60</v>
          </cell>
          <cell r="G225" t="str">
            <v>Q1</v>
          </cell>
          <cell r="H225">
            <v>28.012500000000003</v>
          </cell>
          <cell r="I225" t="str">
            <v>M3</v>
          </cell>
          <cell r="L225" t="str">
            <v>6.</v>
          </cell>
          <cell r="N225" t="str">
            <v>Water Tanker</v>
          </cell>
          <cell r="O225" t="str">
            <v>(E23)</v>
          </cell>
          <cell r="P225" t="str">
            <v>jam</v>
          </cell>
          <cell r="Q225">
            <v>2.1084337349397592E-2</v>
          </cell>
          <cell r="R225">
            <v>67020.510980434308</v>
          </cell>
          <cell r="U225">
            <v>1413.0830628404826</v>
          </cell>
        </row>
        <row r="226">
          <cell r="D226" t="str">
            <v>Fk x Ts1</v>
          </cell>
          <cell r="L226" t="str">
            <v>7.</v>
          </cell>
          <cell r="N226" t="str">
            <v>Alat Bantu</v>
          </cell>
          <cell r="P226" t="str">
            <v>Ls</v>
          </cell>
          <cell r="Q226">
            <v>1</v>
          </cell>
          <cell r="R226">
            <v>75</v>
          </cell>
          <cell r="U226">
            <v>75</v>
          </cell>
        </row>
        <row r="227">
          <cell r="C227" t="str">
            <v>Koefisien Alat / M3</v>
          </cell>
          <cell r="D227" t="str">
            <v xml:space="preserve"> =  1  :  Q1</v>
          </cell>
          <cell r="G227" t="str">
            <v>(E15)</v>
          </cell>
          <cell r="H227">
            <v>3.5698348951360995E-2</v>
          </cell>
          <cell r="I227" t="str">
            <v>jam</v>
          </cell>
        </row>
        <row r="228">
          <cell r="Q228" t="str">
            <v xml:space="preserve">JUMLAH HARGA PERALATAN   </v>
          </cell>
          <cell r="U228">
            <v>24586.430098557481</v>
          </cell>
        </row>
        <row r="229">
          <cell r="A229" t="str">
            <v xml:space="preserve">   2.b.</v>
          </cell>
          <cell r="C229" t="str">
            <v>DUMP TRUCK</v>
          </cell>
          <cell r="G229" t="str">
            <v>(E09)</v>
          </cell>
        </row>
        <row r="230">
          <cell r="C230" t="str">
            <v>Kapasitas bak</v>
          </cell>
          <cell r="G230" t="str">
            <v>V</v>
          </cell>
          <cell r="H230">
            <v>6</v>
          </cell>
          <cell r="I230" t="str">
            <v>M3</v>
          </cell>
          <cell r="L230" t="str">
            <v>D.</v>
          </cell>
          <cell r="N230" t="str">
            <v>JUMLAH HARGA TENAGA, BAHAN DAN PERALATAN  ( A + B + C )</v>
          </cell>
          <cell r="U230">
            <v>308237.48021444713</v>
          </cell>
        </row>
        <row r="231">
          <cell r="C231" t="str">
            <v>Faktor Efisiensi alat</v>
          </cell>
          <cell r="G231" t="str">
            <v>Fa</v>
          </cell>
          <cell r="H231">
            <v>0.83</v>
          </cell>
          <cell r="I231" t="str">
            <v>-</v>
          </cell>
          <cell r="L231" t="str">
            <v>E.</v>
          </cell>
          <cell r="N231" t="str">
            <v>OVERHEAD &amp; PROFIT</v>
          </cell>
          <cell r="P231">
            <v>10</v>
          </cell>
          <cell r="Q231" t="str">
            <v>%  x  D</v>
          </cell>
          <cell r="U231">
            <v>30823.748021444713</v>
          </cell>
        </row>
        <row r="232">
          <cell r="C232" t="str">
            <v>Kecepatan rata-rata bermuatan</v>
          </cell>
          <cell r="G232" t="str">
            <v>v1</v>
          </cell>
          <cell r="H232">
            <v>45</v>
          </cell>
          <cell r="I232" t="str">
            <v>KM/jam</v>
          </cell>
          <cell r="L232" t="str">
            <v>F.</v>
          </cell>
          <cell r="N232" t="str">
            <v>HARGA SATUAN PEKERJAAN  ( D + E )</v>
          </cell>
          <cell r="U232">
            <v>339061.22823589185</v>
          </cell>
        </row>
        <row r="233">
          <cell r="C233" t="str">
            <v>Kecepatan rata-rata kosong</v>
          </cell>
          <cell r="G233" t="str">
            <v>v2</v>
          </cell>
          <cell r="H233">
            <v>60</v>
          </cell>
          <cell r="I233" t="str">
            <v>KM/jam</v>
          </cell>
          <cell r="L233" t="str">
            <v>Note: 1</v>
          </cell>
          <cell r="N233" t="str">
            <v>SATUAN dapat berdasarkan atas jam operasi untuk Tenaga Kerja dan Peralatan, volume dan/atau ukuran</v>
          </cell>
        </row>
        <row r="234">
          <cell r="C234" t="str">
            <v>Waktu Siklus  :  - Waktu memuat = V : Q1 x 60</v>
          </cell>
          <cell r="G234" t="str">
            <v>T1</v>
          </cell>
          <cell r="H234">
            <v>12.851405622489958</v>
          </cell>
          <cell r="I234" t="str">
            <v>menit</v>
          </cell>
          <cell r="N234" t="str">
            <v>berat untuk bahan-bahan.</v>
          </cell>
        </row>
        <row r="235">
          <cell r="C235" t="str">
            <v>- Waktu tempuh isi  =  (L : v1) x 60 menit</v>
          </cell>
          <cell r="G235" t="str">
            <v>T2</v>
          </cell>
          <cell r="H235">
            <v>11.633333333333333</v>
          </cell>
          <cell r="I235" t="str">
            <v>menit</v>
          </cell>
          <cell r="L235">
            <v>2</v>
          </cell>
          <cell r="N235" t="str">
            <v>Kuantitas satuan adalah kuantitas setiap komponen untuk menyelesaikan satu satuan pekerjaan dari nomor</v>
          </cell>
        </row>
        <row r="236">
          <cell r="C236" t="str">
            <v>- Waktu tempuh kosong  =  (L : v2) x 60 menit</v>
          </cell>
          <cell r="G236" t="str">
            <v>T3</v>
          </cell>
          <cell r="H236">
            <v>8.7249999999999996</v>
          </cell>
          <cell r="I236" t="str">
            <v>menit</v>
          </cell>
          <cell r="N236" t="str">
            <v>mata pembayaran.</v>
          </cell>
        </row>
        <row r="237">
          <cell r="C237" t="str">
            <v>- Dump dan lain-lain</v>
          </cell>
          <cell r="G237" t="str">
            <v>T4</v>
          </cell>
          <cell r="H237">
            <v>3</v>
          </cell>
          <cell r="I237" t="str">
            <v>menit</v>
          </cell>
          <cell r="L237">
            <v>3</v>
          </cell>
          <cell r="N237" t="str">
            <v>Biaya satuan untuk peralatan sudah termasuk bahan bakar, bahan habis dipakai dan operator.</v>
          </cell>
        </row>
        <row r="238">
          <cell r="G238" t="str">
            <v>Ts2</v>
          </cell>
          <cell r="H238">
            <v>36.20973895582329</v>
          </cell>
          <cell r="I238" t="str">
            <v>menit</v>
          </cell>
          <cell r="L238">
            <v>4</v>
          </cell>
          <cell r="N238" t="str">
            <v>Biaya satuan sudah termasuk pengeluaran untuk seluruh pajak yang berkaitan (tetapi tidak termasuk PPN</v>
          </cell>
        </row>
        <row r="239">
          <cell r="N239" t="str">
            <v>yang dibayar dari kontrak) dan biaya-biaya lainnya.</v>
          </cell>
        </row>
        <row r="240">
          <cell r="J240" t="str">
            <v>Berlanjut ke hal. berikut</v>
          </cell>
        </row>
        <row r="241">
          <cell r="A241" t="str">
            <v>ITEM PEMBAYARAN NO.</v>
          </cell>
          <cell r="D241" t="str">
            <v>:  5.1 (2)</v>
          </cell>
          <cell r="J241" t="str">
            <v>Analisa EI-512</v>
          </cell>
        </row>
        <row r="242">
          <cell r="A242" t="str">
            <v>JENIS PEKERJAAN</v>
          </cell>
          <cell r="D242" t="str">
            <v>:  Lps. Pond. Ag. Kls. B, CBR Min 35%</v>
          </cell>
        </row>
        <row r="243">
          <cell r="A243" t="str">
            <v>SATUAN PEMBAYARAN</v>
          </cell>
          <cell r="D243" t="str">
            <v>:  M3</v>
          </cell>
          <cell r="H243" t="str">
            <v xml:space="preserve">         URAIAN ANALISA HARGA SATUAN</v>
          </cell>
        </row>
        <row r="244">
          <cell r="J244" t="str">
            <v>Lanjutan</v>
          </cell>
        </row>
        <row r="246">
          <cell r="A246" t="str">
            <v>No.</v>
          </cell>
          <cell r="C246" t="str">
            <v>U R A I A N</v>
          </cell>
          <cell r="G246" t="str">
            <v>KODE</v>
          </cell>
          <cell r="H246" t="str">
            <v>KOEF.</v>
          </cell>
          <cell r="I246" t="str">
            <v>SATUAN</v>
          </cell>
          <cell r="J246" t="str">
            <v>KETERANGAN</v>
          </cell>
        </row>
        <row r="249">
          <cell r="C249" t="str">
            <v>Kap. Prod. / jam =</v>
          </cell>
          <cell r="D249" t="str">
            <v>V x Fa x 60</v>
          </cell>
          <cell r="G249" t="str">
            <v>Q2</v>
          </cell>
          <cell r="H249">
            <v>6.8766030129017413</v>
          </cell>
          <cell r="I249" t="str">
            <v>M3</v>
          </cell>
        </row>
        <row r="250">
          <cell r="D250" t="str">
            <v>Fk x Ts2</v>
          </cell>
        </row>
        <row r="251">
          <cell r="C251" t="str">
            <v>Koefisien Alat / M3</v>
          </cell>
          <cell r="D251" t="str">
            <v xml:space="preserve"> =  1  :  Q2</v>
          </cell>
          <cell r="G251" t="str">
            <v>-</v>
          </cell>
          <cell r="H251">
            <v>0.14542063837680036</v>
          </cell>
          <cell r="I251" t="str">
            <v>jam</v>
          </cell>
        </row>
        <row r="253">
          <cell r="A253" t="str">
            <v xml:space="preserve">   2.c.</v>
          </cell>
          <cell r="C253" t="str">
            <v>MOTOR GRADER</v>
          </cell>
          <cell r="G253" t="str">
            <v>(E13)</v>
          </cell>
        </row>
        <row r="254">
          <cell r="C254" t="str">
            <v>Panjang hamparan</v>
          </cell>
          <cell r="G254" t="str">
            <v>Lh</v>
          </cell>
          <cell r="H254">
            <v>50</v>
          </cell>
          <cell r="I254" t="str">
            <v>M</v>
          </cell>
        </row>
        <row r="255">
          <cell r="C255" t="str">
            <v>Lebar efektif kerja blade</v>
          </cell>
          <cell r="G255" t="str">
            <v>b</v>
          </cell>
          <cell r="H255">
            <v>2.4</v>
          </cell>
          <cell r="I255" t="str">
            <v>M</v>
          </cell>
        </row>
        <row r="256">
          <cell r="C256" t="str">
            <v>Faktor Efisiensi alat</v>
          </cell>
          <cell r="G256" t="str">
            <v>Fa</v>
          </cell>
          <cell r="H256">
            <v>0.83</v>
          </cell>
          <cell r="I256" t="str">
            <v>-</v>
          </cell>
        </row>
        <row r="257">
          <cell r="C257" t="str">
            <v>Kecepatan rata-rata alat</v>
          </cell>
          <cell r="G257" t="str">
            <v>v</v>
          </cell>
          <cell r="H257">
            <v>4</v>
          </cell>
          <cell r="I257" t="str">
            <v>KM/jam</v>
          </cell>
        </row>
        <row r="258">
          <cell r="C258" t="str">
            <v>Jumlah lintasan</v>
          </cell>
          <cell r="G258" t="str">
            <v>n</v>
          </cell>
          <cell r="H258">
            <v>6</v>
          </cell>
          <cell r="I258" t="str">
            <v>lintasan</v>
          </cell>
          <cell r="J258" t="str">
            <v xml:space="preserve"> 3 x pp</v>
          </cell>
        </row>
        <row r="259">
          <cell r="C259" t="str">
            <v>Waktu Siklus :</v>
          </cell>
          <cell r="G259" t="str">
            <v>Ts3</v>
          </cell>
        </row>
        <row r="260">
          <cell r="C260" t="str">
            <v>- Perataan 1 lintasan  =  Lh : (v x 1000) x 60</v>
          </cell>
          <cell r="G260" t="str">
            <v>T1</v>
          </cell>
          <cell r="H260">
            <v>0.75</v>
          </cell>
          <cell r="I260" t="str">
            <v>menit</v>
          </cell>
        </row>
        <row r="261">
          <cell r="C261" t="str">
            <v>- Lain-lain</v>
          </cell>
          <cell r="G261" t="str">
            <v>T2</v>
          </cell>
          <cell r="H261">
            <v>1</v>
          </cell>
          <cell r="I261" t="str">
            <v>menit</v>
          </cell>
        </row>
        <row r="262">
          <cell r="G262" t="str">
            <v>Ts3</v>
          </cell>
          <cell r="H262">
            <v>1.75</v>
          </cell>
          <cell r="I262" t="str">
            <v>menit</v>
          </cell>
        </row>
        <row r="264">
          <cell r="C264" t="str">
            <v>Kap. Prod. / jam =</v>
          </cell>
          <cell r="D264" t="str">
            <v>Lh x b x t x Fa x 60</v>
          </cell>
          <cell r="G264" t="str">
            <v>Q3</v>
          </cell>
          <cell r="H264">
            <v>85.371428571428567</v>
          </cell>
          <cell r="I264" t="str">
            <v>M3</v>
          </cell>
        </row>
        <row r="265">
          <cell r="D265" t="str">
            <v>n x Ts3</v>
          </cell>
        </row>
        <row r="266">
          <cell r="C266" t="str">
            <v>Koefisien Alat / M3</v>
          </cell>
          <cell r="D266" t="str">
            <v xml:space="preserve"> =  1  :  Q3</v>
          </cell>
          <cell r="G266" t="str">
            <v>(E13)</v>
          </cell>
          <cell r="H266">
            <v>1.1713520749665328E-2</v>
          </cell>
          <cell r="I266" t="str">
            <v>jam</v>
          </cell>
        </row>
        <row r="268">
          <cell r="A268" t="str">
            <v xml:space="preserve">   2.d.</v>
          </cell>
          <cell r="C268" t="str">
            <v>VIBRATORY ROLLER</v>
          </cell>
          <cell r="G268" t="str">
            <v>(E19)</v>
          </cell>
        </row>
        <row r="269">
          <cell r="C269" t="str">
            <v>Kecepatan rata-rata alat</v>
          </cell>
          <cell r="G269" t="str">
            <v>v</v>
          </cell>
          <cell r="H269">
            <v>3</v>
          </cell>
          <cell r="I269" t="str">
            <v>KM/jam</v>
          </cell>
        </row>
        <row r="270">
          <cell r="C270" t="str">
            <v>Lebar efektif pemadatan</v>
          </cell>
          <cell r="G270" t="str">
            <v>b</v>
          </cell>
          <cell r="H270">
            <v>1.2</v>
          </cell>
          <cell r="I270" t="str">
            <v>M</v>
          </cell>
        </row>
        <row r="271">
          <cell r="C271" t="str">
            <v>Jumlah lintasan</v>
          </cell>
          <cell r="G271" t="str">
            <v>n</v>
          </cell>
          <cell r="H271">
            <v>8</v>
          </cell>
          <cell r="I271" t="str">
            <v>lintasan</v>
          </cell>
        </row>
        <row r="272">
          <cell r="C272" t="str">
            <v>Faktor Efisiensi alat</v>
          </cell>
          <cell r="G272" t="str">
            <v>Fa</v>
          </cell>
          <cell r="H272">
            <v>0.83</v>
          </cell>
          <cell r="I272" t="str">
            <v>-</v>
          </cell>
        </row>
        <row r="274">
          <cell r="C274" t="str">
            <v>Kap. Prod. / jam =</v>
          </cell>
          <cell r="D274" t="str">
            <v>(v x 1000) x b x t x Fa</v>
          </cell>
          <cell r="G274" t="str">
            <v>Q4</v>
          </cell>
          <cell r="H274">
            <v>56.024999999999999</v>
          </cell>
          <cell r="I274" t="str">
            <v>M3</v>
          </cell>
        </row>
        <row r="275">
          <cell r="D275" t="str">
            <v>n</v>
          </cell>
        </row>
        <row r="276">
          <cell r="C276" t="str">
            <v>Koefisien Alat / M3</v>
          </cell>
          <cell r="D276" t="str">
            <v xml:space="preserve"> =  1  :  Q4</v>
          </cell>
          <cell r="G276" t="str">
            <v>(E19)</v>
          </cell>
          <cell r="H276">
            <v>1.7849174475680501E-2</v>
          </cell>
          <cell r="I276" t="str">
            <v>jam</v>
          </cell>
        </row>
        <row r="278">
          <cell r="A278" t="str">
            <v xml:space="preserve">   2.e.</v>
          </cell>
          <cell r="C278" t="str">
            <v>PNEUMATIC TIRE ROLLER</v>
          </cell>
          <cell r="G278" t="str">
            <v>(E18)</v>
          </cell>
        </row>
        <row r="279">
          <cell r="C279" t="str">
            <v>Kecepatan rata-rata alat</v>
          </cell>
          <cell r="G279" t="str">
            <v>v</v>
          </cell>
          <cell r="H279">
            <v>5</v>
          </cell>
          <cell r="I279" t="str">
            <v>KM/jam</v>
          </cell>
        </row>
        <row r="280">
          <cell r="C280" t="str">
            <v>Lebar efektif pemadatan</v>
          </cell>
          <cell r="G280" t="str">
            <v>b</v>
          </cell>
          <cell r="H280">
            <v>1.5</v>
          </cell>
          <cell r="I280" t="str">
            <v>M</v>
          </cell>
        </row>
        <row r="281">
          <cell r="C281" t="str">
            <v>Jumlah lintasan</v>
          </cell>
          <cell r="G281" t="str">
            <v>n</v>
          </cell>
          <cell r="H281">
            <v>4</v>
          </cell>
          <cell r="I281" t="str">
            <v>lintasan</v>
          </cell>
        </row>
        <row r="282">
          <cell r="C282" t="str">
            <v>Faktor Efisiensi alat</v>
          </cell>
          <cell r="G282" t="str">
            <v>Fa</v>
          </cell>
          <cell r="H282">
            <v>0.83</v>
          </cell>
          <cell r="I282" t="str">
            <v>-</v>
          </cell>
        </row>
        <row r="284">
          <cell r="C284" t="str">
            <v>Kap. Prod. / jam =</v>
          </cell>
          <cell r="D284" t="str">
            <v>(v x 1000) x b x t x Fa</v>
          </cell>
          <cell r="G284" t="str">
            <v>Q5</v>
          </cell>
          <cell r="H284">
            <v>233.4375</v>
          </cell>
          <cell r="I284" t="str">
            <v>M3</v>
          </cell>
        </row>
        <row r="285">
          <cell r="D285" t="str">
            <v>n</v>
          </cell>
        </row>
        <row r="286">
          <cell r="C286" t="str">
            <v>Koefisien Alat / M3</v>
          </cell>
          <cell r="D286" t="str">
            <v xml:space="preserve"> =  1  :  Q5</v>
          </cell>
          <cell r="G286" t="str">
            <v>(E18)</v>
          </cell>
          <cell r="H286">
            <v>4.2838018741633201E-3</v>
          </cell>
          <cell r="I286" t="str">
            <v>jam</v>
          </cell>
        </row>
        <row r="288">
          <cell r="A288" t="str">
            <v xml:space="preserve">   2.f.</v>
          </cell>
          <cell r="C288" t="str">
            <v>WATER TANK TRUCK</v>
          </cell>
          <cell r="G288" t="str">
            <v>(E23)</v>
          </cell>
        </row>
        <row r="289">
          <cell r="C289" t="str">
            <v>Volume tanki air</v>
          </cell>
          <cell r="G289" t="str">
            <v>V</v>
          </cell>
          <cell r="H289">
            <v>4</v>
          </cell>
          <cell r="I289" t="str">
            <v>M3</v>
          </cell>
        </row>
        <row r="290">
          <cell r="C290" t="str">
            <v>Kebutuhan air / M3 agregat padat</v>
          </cell>
          <cell r="G290" t="str">
            <v>Wc</v>
          </cell>
          <cell r="H290">
            <v>7.0000000000000007E-2</v>
          </cell>
          <cell r="I290" t="str">
            <v>M3</v>
          </cell>
        </row>
        <row r="291">
          <cell r="C291" t="str">
            <v>Pengisian tanki / jam</v>
          </cell>
          <cell r="G291" t="str">
            <v>n</v>
          </cell>
          <cell r="H291">
            <v>1</v>
          </cell>
          <cell r="I291" t="str">
            <v>kali</v>
          </cell>
        </row>
        <row r="292">
          <cell r="C292" t="str">
            <v>Faktor Efisiensi alat</v>
          </cell>
          <cell r="G292" t="str">
            <v>Fa</v>
          </cell>
          <cell r="H292">
            <v>0.83</v>
          </cell>
          <cell r="I292" t="str">
            <v>-</v>
          </cell>
        </row>
        <row r="294">
          <cell r="C294" t="str">
            <v>Kap. Prod. / jam =</v>
          </cell>
          <cell r="D294" t="str">
            <v>V x n x Fa</v>
          </cell>
          <cell r="G294" t="str">
            <v>Q6</v>
          </cell>
          <cell r="H294">
            <v>47.428571428571423</v>
          </cell>
          <cell r="I294" t="str">
            <v>M3</v>
          </cell>
        </row>
        <row r="295">
          <cell r="D295" t="str">
            <v>Wc</v>
          </cell>
        </row>
        <row r="296">
          <cell r="C296" t="str">
            <v>Koefisien Alat / M3</v>
          </cell>
          <cell r="D296" t="str">
            <v xml:space="preserve"> =  1  :  Q6</v>
          </cell>
          <cell r="G296" t="str">
            <v>(E23)</v>
          </cell>
          <cell r="H296">
            <v>2.1084337349397592E-2</v>
          </cell>
          <cell r="I296" t="str">
            <v>jam</v>
          </cell>
        </row>
        <row r="299">
          <cell r="J299" t="str">
            <v>Berlanjut ke hal. berikut</v>
          </cell>
        </row>
        <row r="300">
          <cell r="A300" t="str">
            <v>ITEM PEMBAYARAN NO.</v>
          </cell>
          <cell r="D300" t="str">
            <v>:  5.1 (2)</v>
          </cell>
          <cell r="J300" t="str">
            <v>Analisa EI-512</v>
          </cell>
        </row>
        <row r="301">
          <cell r="A301" t="str">
            <v>JENIS PEKERJAAN</v>
          </cell>
          <cell r="D301" t="str">
            <v>:  Lps. Pond. Ag. Kls. B, CBR Min 35%</v>
          </cell>
        </row>
        <row r="302">
          <cell r="A302" t="str">
            <v>SATUAN PEMBAYARAN</v>
          </cell>
          <cell r="D302" t="str">
            <v>:  M3</v>
          </cell>
          <cell r="H302" t="str">
            <v xml:space="preserve">         URAIAN ANALISA HARGA SATUAN</v>
          </cell>
        </row>
        <row r="303">
          <cell r="J303" t="str">
            <v>Lanjutan</v>
          </cell>
        </row>
        <row r="305">
          <cell r="A305" t="str">
            <v>No.</v>
          </cell>
          <cell r="C305" t="str">
            <v>U R A I A N</v>
          </cell>
          <cell r="G305" t="str">
            <v>KODE</v>
          </cell>
          <cell r="H305" t="str">
            <v>KOEF.</v>
          </cell>
          <cell r="I305" t="str">
            <v>SATUAN</v>
          </cell>
          <cell r="J305" t="str">
            <v>KETERANGAN</v>
          </cell>
        </row>
        <row r="308">
          <cell r="A308" t="str">
            <v xml:space="preserve">   2.g.</v>
          </cell>
          <cell r="C308" t="str">
            <v>ALAT BANTU</v>
          </cell>
          <cell r="J308" t="str">
            <v xml:space="preserve"> Lump Sum</v>
          </cell>
        </row>
        <row r="309">
          <cell r="C309" t="str">
            <v>Diperlukan   :</v>
          </cell>
        </row>
        <row r="310">
          <cell r="C310" t="str">
            <v>- Kereta dorong</v>
          </cell>
          <cell r="D310" t="str">
            <v>=  2  buah.</v>
          </cell>
        </row>
        <row r="311">
          <cell r="C311" t="str">
            <v>- Sekop</v>
          </cell>
          <cell r="D311" t="str">
            <v>=  3  buah.</v>
          </cell>
        </row>
        <row r="312">
          <cell r="C312" t="str">
            <v>- Garpu</v>
          </cell>
          <cell r="D312" t="str">
            <v>=  2  buah.</v>
          </cell>
        </row>
        <row r="314">
          <cell r="A314" t="str">
            <v xml:space="preserve">   3.</v>
          </cell>
          <cell r="C314" t="str">
            <v>TENAGA</v>
          </cell>
        </row>
        <row r="315">
          <cell r="C315" t="str">
            <v>Produksi menentukan : WHEEL LOADER</v>
          </cell>
          <cell r="G315" t="str">
            <v>Q1</v>
          </cell>
          <cell r="H315">
            <v>28.012500000000003</v>
          </cell>
          <cell r="I315" t="str">
            <v>M3/jam</v>
          </cell>
        </row>
        <row r="316">
          <cell r="C316" t="str">
            <v>Produksi agregat / hari  =  Tk x Q1</v>
          </cell>
          <cell r="G316" t="str">
            <v>Qt</v>
          </cell>
          <cell r="H316">
            <v>196.08750000000003</v>
          </cell>
          <cell r="I316" t="str">
            <v>M3</v>
          </cell>
        </row>
        <row r="317">
          <cell r="C317" t="str">
            <v>Kebutuhan tenaga :</v>
          </cell>
        </row>
        <row r="318">
          <cell r="D318" t="str">
            <v>- Pekerja</v>
          </cell>
          <cell r="G318" t="str">
            <v>P</v>
          </cell>
          <cell r="H318">
            <v>7</v>
          </cell>
          <cell r="I318" t="str">
            <v>orang</v>
          </cell>
        </row>
        <row r="319">
          <cell r="D319" t="str">
            <v>- Mandor</v>
          </cell>
          <cell r="G319" t="str">
            <v>M</v>
          </cell>
          <cell r="H319">
            <v>1</v>
          </cell>
          <cell r="I319" t="str">
            <v>orang</v>
          </cell>
        </row>
        <row r="321">
          <cell r="C321" t="str">
            <v>Koefisien tenaga / M3   :</v>
          </cell>
        </row>
        <row r="322">
          <cell r="D322" t="str">
            <v>- Pekerja</v>
          </cell>
          <cell r="E322" t="str">
            <v>= (Tk x P) : Qt</v>
          </cell>
          <cell r="G322" t="str">
            <v>-</v>
          </cell>
          <cell r="H322">
            <v>0.24988844265952695</v>
          </cell>
          <cell r="I322" t="str">
            <v>jam</v>
          </cell>
        </row>
        <row r="323">
          <cell r="D323" t="str">
            <v>- Mandor</v>
          </cell>
          <cell r="E323" t="str">
            <v>= (Tk x M) : Qt</v>
          </cell>
          <cell r="G323" t="str">
            <v>-</v>
          </cell>
          <cell r="H323">
            <v>3.5698348951360995E-2</v>
          </cell>
          <cell r="I323" t="str">
            <v>jam</v>
          </cell>
        </row>
        <row r="325">
          <cell r="A325" t="str">
            <v>4.</v>
          </cell>
          <cell r="C325" t="str">
            <v>HARGA DASAR SATUAN UPAH, BAHAN DAN ALAT</v>
          </cell>
        </row>
        <row r="326">
          <cell r="C326" t="str">
            <v>Lihat lampiran.</v>
          </cell>
        </row>
        <row r="328">
          <cell r="A328" t="str">
            <v>5.</v>
          </cell>
          <cell r="C328" t="str">
            <v>ANALISA HARGA SATUAN PEKERJAAN</v>
          </cell>
        </row>
        <row r="329">
          <cell r="C329" t="str">
            <v>Lihat perhitungan dalam FORMULIR STANDAR UNTUK</v>
          </cell>
        </row>
        <row r="330">
          <cell r="C330" t="str">
            <v>PEREKAMAN ANALISA MASING-MASING HARGA</v>
          </cell>
        </row>
        <row r="331">
          <cell r="C331" t="str">
            <v>SATUAN.</v>
          </cell>
        </row>
        <row r="332">
          <cell r="C332" t="str">
            <v>Didapat Harga Satuan Pekerjaan :</v>
          </cell>
        </row>
        <row r="334">
          <cell r="C334" t="str">
            <v xml:space="preserve">Rp.  </v>
          </cell>
          <cell r="D334">
            <v>339061.22823589185</v>
          </cell>
          <cell r="E334" t="str">
            <v xml:space="preserve"> / M3.</v>
          </cell>
        </row>
        <row r="337">
          <cell r="A337" t="str">
            <v>6.</v>
          </cell>
          <cell r="C337" t="str">
            <v>WAKTU PELAKSANAAN YANG DIPERLUKAN</v>
          </cell>
        </row>
        <row r="338">
          <cell r="C338" t="str">
            <v>Masa Pelaksanaan :</v>
          </cell>
          <cell r="D338" t="str">
            <v>. . . . . . . . . . . .</v>
          </cell>
          <cell r="E338" t="str">
            <v>bulan</v>
          </cell>
        </row>
        <row r="340">
          <cell r="A340" t="str">
            <v>7.</v>
          </cell>
          <cell r="C340" t="str">
            <v>VOLUME PEKERJAAN YANG DIPERLUKAN</v>
          </cell>
        </row>
        <row r="341">
          <cell r="C341" t="str">
            <v>Volume pekerjaan  :</v>
          </cell>
          <cell r="D341">
            <v>1</v>
          </cell>
          <cell r="E341" t="str">
            <v>M3</v>
          </cell>
        </row>
        <row r="359">
          <cell r="A359" t="str">
            <v>ITEM PEMBAYARAN NO.</v>
          </cell>
          <cell r="D359" t="str">
            <v>:  5.1 (3)</v>
          </cell>
          <cell r="J359" t="str">
            <v>Analisa EI-521</v>
          </cell>
          <cell r="T359" t="str">
            <v>Analisa EI-521</v>
          </cell>
        </row>
        <row r="360">
          <cell r="A360" t="str">
            <v>JENIS PEKERJAAN</v>
          </cell>
          <cell r="D360" t="str">
            <v>:  Lapis Pondasi Agregat Kelas C</v>
          </cell>
        </row>
        <row r="361">
          <cell r="A361" t="str">
            <v>SATUAN PEMBAYARAN</v>
          </cell>
          <cell r="D361" t="str">
            <v>:  M3</v>
          </cell>
          <cell r="H361" t="str">
            <v xml:space="preserve">         URAIAN ANALISA HARGA SATUAN</v>
          </cell>
          <cell r="L361" t="str">
            <v>FORMULIR STANDAR UNTUK</v>
          </cell>
        </row>
        <row r="362">
          <cell r="L362" t="str">
            <v>PEREKAMAN ANALISA MASING-MASING HARGA SATUAN</v>
          </cell>
        </row>
        <row r="363">
          <cell r="L363" t="str">
            <v xml:space="preserve">                                                                                                            </v>
          </cell>
        </row>
        <row r="364">
          <cell r="A364" t="str">
            <v>No.</v>
          </cell>
          <cell r="C364" t="str">
            <v>U R A I A N</v>
          </cell>
          <cell r="G364" t="str">
            <v>KODE</v>
          </cell>
          <cell r="H364" t="str">
            <v>KOEF.</v>
          </cell>
          <cell r="I364" t="str">
            <v>SATUAN</v>
          </cell>
          <cell r="J364" t="str">
            <v>KETERANGAN</v>
          </cell>
        </row>
        <row r="366">
          <cell r="L366" t="str">
            <v>PROYEK</v>
          </cell>
          <cell r="O366" t="str">
            <v xml:space="preserve">:  </v>
          </cell>
        </row>
        <row r="367">
          <cell r="A367" t="str">
            <v>I.</v>
          </cell>
          <cell r="C367" t="str">
            <v>ASUMSI</v>
          </cell>
          <cell r="L367" t="str">
            <v>No. PAKET KONTRAK</v>
          </cell>
          <cell r="O367" t="str">
            <v xml:space="preserve">:  </v>
          </cell>
        </row>
        <row r="368">
          <cell r="A368">
            <v>1</v>
          </cell>
          <cell r="C368" t="str">
            <v>Menggunakan alat berat (cara mekanik)</v>
          </cell>
          <cell r="L368" t="str">
            <v>NAMA PAKET</v>
          </cell>
          <cell r="O368" t="str">
            <v xml:space="preserve">:  </v>
          </cell>
        </row>
        <row r="369">
          <cell r="A369">
            <v>2</v>
          </cell>
          <cell r="C369" t="str">
            <v>Lokasi pekerjaan : sepanjang jalan</v>
          </cell>
          <cell r="L369" t="str">
            <v>PROP / KAB / KODYA</v>
          </cell>
          <cell r="O369" t="str">
            <v xml:space="preserve">:  </v>
          </cell>
        </row>
        <row r="370">
          <cell r="A370">
            <v>3</v>
          </cell>
          <cell r="C370" t="str">
            <v>Kondisi existing jalan : sedang</v>
          </cell>
          <cell r="L370" t="str">
            <v>ITEM PEMBAYARAN NO.</v>
          </cell>
          <cell r="O370" t="str">
            <v>:  5.1 (3)</v>
          </cell>
          <cell r="R370" t="str">
            <v>PERKIRAAN VOL. PEK.</v>
          </cell>
          <cell r="T370" t="str">
            <v>:</v>
          </cell>
          <cell r="U370">
            <v>1</v>
          </cell>
        </row>
        <row r="371">
          <cell r="A371">
            <v>4</v>
          </cell>
          <cell r="C371" t="str">
            <v>Jarak rata-rata Base Camp ke lokasi pekerjaan</v>
          </cell>
          <cell r="G371" t="str">
            <v>L</v>
          </cell>
          <cell r="H371">
            <v>8.7249999999999996</v>
          </cell>
          <cell r="I371" t="str">
            <v>KM</v>
          </cell>
          <cell r="L371" t="str">
            <v>JENIS PEKERJAAN</v>
          </cell>
          <cell r="O371" t="str">
            <v>:  Lapis Pondasi Agregat Kelas C</v>
          </cell>
          <cell r="R371" t="str">
            <v>TOTAL HARGA</v>
          </cell>
          <cell r="T371" t="str">
            <v>:</v>
          </cell>
          <cell r="U371">
            <v>252395.66</v>
          </cell>
        </row>
        <row r="372">
          <cell r="A372">
            <v>5</v>
          </cell>
          <cell r="C372" t="str">
            <v>Tebal lapis Agregat padat</v>
          </cell>
          <cell r="G372" t="str">
            <v>t</v>
          </cell>
          <cell r="H372">
            <v>0.15</v>
          </cell>
          <cell r="I372" t="str">
            <v>M</v>
          </cell>
          <cell r="L372" t="str">
            <v>SATUAN PEMBAYARAN</v>
          </cell>
          <cell r="O372" t="str">
            <v>:  M3</v>
          </cell>
          <cell r="R372" t="str">
            <v>% THD. BIAYA PROYEK</v>
          </cell>
          <cell r="T372" t="str">
            <v>:</v>
          </cell>
          <cell r="U372">
            <v>6.005925037550471E-3</v>
          </cell>
        </row>
        <row r="373">
          <cell r="A373">
            <v>6</v>
          </cell>
          <cell r="C373" t="str">
            <v>Faktor kembang material (Padat-Lepas)</v>
          </cell>
          <cell r="G373" t="str">
            <v>Fk</v>
          </cell>
          <cell r="H373">
            <v>1.35</v>
          </cell>
          <cell r="I373" t="str">
            <v>-</v>
          </cell>
        </row>
        <row r="374">
          <cell r="A374">
            <v>7</v>
          </cell>
          <cell r="C374" t="str">
            <v>Jam kerja efektif per-hari</v>
          </cell>
          <cell r="G374" t="str">
            <v>Tk</v>
          </cell>
          <cell r="H374">
            <v>7</v>
          </cell>
          <cell r="I374" t="str">
            <v>Jam</v>
          </cell>
        </row>
        <row r="375">
          <cell r="Q375" t="str">
            <v>PERKIRAAN</v>
          </cell>
          <cell r="R375" t="str">
            <v>HARGA</v>
          </cell>
          <cell r="S375" t="str">
            <v>JUMLAH</v>
          </cell>
        </row>
        <row r="376">
          <cell r="A376" t="str">
            <v>II.</v>
          </cell>
          <cell r="C376" t="str">
            <v>URUTAN KERJA</v>
          </cell>
          <cell r="L376" t="str">
            <v>NO.</v>
          </cell>
          <cell r="N376" t="str">
            <v>KOMPONEN</v>
          </cell>
          <cell r="P376" t="str">
            <v>SATUAN</v>
          </cell>
          <cell r="Q376" t="str">
            <v>KUANTITAS</v>
          </cell>
          <cell r="R376" t="str">
            <v>SATUAN</v>
          </cell>
          <cell r="S376" t="str">
            <v>HARGA</v>
          </cell>
        </row>
        <row r="377">
          <cell r="A377">
            <v>1</v>
          </cell>
          <cell r="C377" t="str">
            <v>Wheel Loader memuat Agregat ke dalam Dump</v>
          </cell>
          <cell r="R377" t="str">
            <v>(Rp.)</v>
          </cell>
          <cell r="S377" t="str">
            <v>(Rp.)</v>
          </cell>
        </row>
        <row r="378">
          <cell r="C378" t="str">
            <v>Tuck di Base Camp</v>
          </cell>
        </row>
        <row r="379">
          <cell r="A379">
            <v>2</v>
          </cell>
          <cell r="C379" t="str">
            <v>Dump Truck mengangkut Agregat ke lokasi</v>
          </cell>
        </row>
        <row r="380">
          <cell r="C380" t="str">
            <v>pekerjaandan dihampar dengan Motor Grader</v>
          </cell>
          <cell r="L380" t="str">
            <v>A.</v>
          </cell>
          <cell r="N380" t="str">
            <v>TENAGA</v>
          </cell>
        </row>
        <row r="381">
          <cell r="A381">
            <v>3</v>
          </cell>
          <cell r="C381" t="str">
            <v>Hamparan Agregat dibasahi dengan Water Tank</v>
          </cell>
        </row>
        <row r="382">
          <cell r="C382" t="str">
            <v>Truck sebelum dipadatkan dengan Tandem</v>
          </cell>
          <cell r="L382" t="str">
            <v>1.</v>
          </cell>
          <cell r="N382" t="str">
            <v>Pekerja</v>
          </cell>
          <cell r="O382" t="str">
            <v>(L01)</v>
          </cell>
          <cell r="P382" t="str">
            <v>Jam</v>
          </cell>
          <cell r="Q382">
            <v>7.0281124497991981E-2</v>
          </cell>
          <cell r="R382">
            <v>2857.14</v>
          </cell>
          <cell r="U382">
            <v>200.80301204819281</v>
          </cell>
        </row>
        <row r="383">
          <cell r="C383" t="str">
            <v>Roller dan Pneumatic  Tire Roller</v>
          </cell>
          <cell r="L383" t="str">
            <v>2.</v>
          </cell>
          <cell r="N383" t="str">
            <v>Mandor</v>
          </cell>
          <cell r="O383" t="str">
            <v>(L03)</v>
          </cell>
          <cell r="P383" t="str">
            <v>Jam</v>
          </cell>
          <cell r="Q383">
            <v>1.0040160642570283E-2</v>
          </cell>
          <cell r="R383">
            <v>3214.29</v>
          </cell>
          <cell r="U383">
            <v>32.271987951807233</v>
          </cell>
        </row>
        <row r="384">
          <cell r="A384">
            <v>4</v>
          </cell>
          <cell r="C384" t="str">
            <v>Selama pemadatan sekelompok pekerja akan</v>
          </cell>
        </row>
        <row r="385">
          <cell r="C385" t="str">
            <v>merapikan tepi hamparan dan level permukaan</v>
          </cell>
        </row>
        <row r="386">
          <cell r="C386" t="str">
            <v>dengan menggunakan alat bantu</v>
          </cell>
          <cell r="Q386" t="str">
            <v xml:space="preserve">JUMLAH HARGA TENAGA   </v>
          </cell>
          <cell r="U386">
            <v>233.07500000000005</v>
          </cell>
        </row>
        <row r="388">
          <cell r="A388" t="str">
            <v>III.</v>
          </cell>
          <cell r="C388" t="str">
            <v>PEMAKAIAN BAHAN, ALAT DAN TENAGA</v>
          </cell>
          <cell r="L388" t="str">
            <v>B.</v>
          </cell>
          <cell r="N388" t="str">
            <v>BAHAN</v>
          </cell>
        </row>
        <row r="390">
          <cell r="A390" t="str">
            <v xml:space="preserve">   1.</v>
          </cell>
          <cell r="C390" t="str">
            <v>BAHAN</v>
          </cell>
          <cell r="L390" t="str">
            <v>1.</v>
          </cell>
          <cell r="N390" t="str">
            <v>Agregat Kelas C1 (M28)</v>
          </cell>
          <cell r="P390" t="str">
            <v>M3</v>
          </cell>
          <cell r="Q390">
            <v>1.35</v>
          </cell>
          <cell r="R390">
            <v>141787.08464737452</v>
          </cell>
          <cell r="U390">
            <v>191412.56427395562</v>
          </cell>
        </row>
        <row r="391">
          <cell r="C391" t="str">
            <v>Material Agregat Kelas C hasil produksi di Base Camp</v>
          </cell>
        </row>
        <row r="392">
          <cell r="C392" t="str">
            <v>Setiap 1 M3 Agregat padat diperlukan : 1 x Fk</v>
          </cell>
          <cell r="G392" t="str">
            <v>(M28)</v>
          </cell>
          <cell r="H392">
            <v>1.35</v>
          </cell>
          <cell r="I392" t="str">
            <v>M3</v>
          </cell>
          <cell r="J392" t="str">
            <v xml:space="preserve"> Agregat lepas</v>
          </cell>
        </row>
        <row r="394">
          <cell r="A394" t="str">
            <v xml:space="preserve">   2.</v>
          </cell>
          <cell r="C394" t="str">
            <v>ALAT</v>
          </cell>
        </row>
        <row r="395">
          <cell r="A395" t="str">
            <v>2.a.</v>
          </cell>
          <cell r="C395" t="str">
            <v>WHEEL LOADER</v>
          </cell>
          <cell r="G395" t="str">
            <v>(E15)</v>
          </cell>
        </row>
        <row r="396">
          <cell r="C396" t="str">
            <v>Kapasitas bucket</v>
          </cell>
          <cell r="G396" t="str">
            <v>V</v>
          </cell>
          <cell r="H396">
            <v>1.5</v>
          </cell>
          <cell r="I396" t="str">
            <v>M3</v>
          </cell>
          <cell r="Q396" t="str">
            <v xml:space="preserve">JUMLAH HARGA BAHAN   </v>
          </cell>
          <cell r="U396">
            <v>191412.56427395562</v>
          </cell>
        </row>
        <row r="397">
          <cell r="C397" t="str">
            <v>Faktor bucket</v>
          </cell>
          <cell r="G397" t="str">
            <v>Fb</v>
          </cell>
          <cell r="H397">
            <v>0.9</v>
          </cell>
          <cell r="I397" t="str">
            <v>-</v>
          </cell>
          <cell r="J397" t="str">
            <v>Pemuatan ringan</v>
          </cell>
        </row>
        <row r="398">
          <cell r="C398" t="str">
            <v>Faktor Efisiensi alat</v>
          </cell>
          <cell r="G398" t="str">
            <v>Fa</v>
          </cell>
          <cell r="H398">
            <v>0.83</v>
          </cell>
          <cell r="I398" t="str">
            <v>-</v>
          </cell>
          <cell r="L398" t="str">
            <v>C.</v>
          </cell>
          <cell r="N398" t="str">
            <v>PERALATAN</v>
          </cell>
        </row>
        <row r="399">
          <cell r="C399" t="str">
            <v>Waktu siklus</v>
          </cell>
          <cell r="G399" t="str">
            <v>Ts1</v>
          </cell>
        </row>
        <row r="400">
          <cell r="C400" t="str">
            <v>- Muat</v>
          </cell>
          <cell r="G400" t="str">
            <v>T1</v>
          </cell>
          <cell r="H400">
            <v>0.25</v>
          </cell>
          <cell r="I400" t="str">
            <v>menit</v>
          </cell>
          <cell r="L400" t="str">
            <v>1.</v>
          </cell>
          <cell r="N400" t="str">
            <v>Wheel Loader</v>
          </cell>
          <cell r="O400" t="str">
            <v>(E15)</v>
          </cell>
          <cell r="P400" t="str">
            <v>Jam</v>
          </cell>
          <cell r="Q400">
            <v>1.0040160642570281E-2</v>
          </cell>
          <cell r="R400">
            <v>163808.13869490434</v>
          </cell>
          <cell r="U400">
            <v>1644.6600270572724</v>
          </cell>
        </row>
        <row r="401">
          <cell r="C401" t="str">
            <v>- Lain-lain</v>
          </cell>
          <cell r="G401" t="str">
            <v>T2</v>
          </cell>
          <cell r="H401">
            <v>0.25</v>
          </cell>
          <cell r="I401" t="str">
            <v>menit</v>
          </cell>
          <cell r="L401" t="str">
            <v>2.</v>
          </cell>
          <cell r="N401" t="str">
            <v>Dump Truck</v>
          </cell>
          <cell r="O401" t="str">
            <v>(E08)</v>
          </cell>
          <cell r="P401" t="str">
            <v>Jam</v>
          </cell>
          <cell r="Q401">
            <v>0.17463233959936131</v>
          </cell>
          <cell r="R401">
            <v>153645.58193291764</v>
          </cell>
          <cell r="U401">
            <v>26831.487442050766</v>
          </cell>
        </row>
        <row r="402">
          <cell r="G402" t="str">
            <v>Ts1</v>
          </cell>
          <cell r="H402">
            <v>0.5</v>
          </cell>
          <cell r="I402" t="str">
            <v>menit</v>
          </cell>
          <cell r="L402" t="str">
            <v>3.</v>
          </cell>
          <cell r="N402" t="str">
            <v>Motor Grader</v>
          </cell>
          <cell r="O402" t="str">
            <v>(E13)</v>
          </cell>
          <cell r="P402" t="str">
            <v>Jam</v>
          </cell>
          <cell r="Q402">
            <v>1.1713520749665328E-2</v>
          </cell>
          <cell r="R402">
            <v>201666.62574070093</v>
          </cell>
          <cell r="U402">
            <v>2362.2262051286921</v>
          </cell>
        </row>
        <row r="403">
          <cell r="L403" t="str">
            <v>4.</v>
          </cell>
          <cell r="N403" t="str">
            <v>Vibratory Roller</v>
          </cell>
          <cell r="O403" t="str">
            <v>(E19)</v>
          </cell>
          <cell r="P403" t="str">
            <v>Jam</v>
          </cell>
          <cell r="Q403">
            <v>2.1419009370816599E-2</v>
          </cell>
          <cell r="R403">
            <v>234734.82748629327</v>
          </cell>
          <cell r="U403">
            <v>5027.7874695859336</v>
          </cell>
        </row>
        <row r="404">
          <cell r="C404" t="str">
            <v>Kap. Prod. / jam =</v>
          </cell>
          <cell r="D404" t="str">
            <v>V x Fb x Fa x 60</v>
          </cell>
          <cell r="G404" t="str">
            <v>Q1</v>
          </cell>
          <cell r="H404">
            <v>99.6</v>
          </cell>
          <cell r="I404" t="str">
            <v>M3</v>
          </cell>
          <cell r="L404" t="str">
            <v>5.</v>
          </cell>
          <cell r="N404" t="str">
            <v>P. Tyre Roller</v>
          </cell>
          <cell r="O404" t="str">
            <v>(E18)</v>
          </cell>
          <cell r="P404" t="str">
            <v>Jam</v>
          </cell>
          <cell r="Q404">
            <v>4.2838018741633201E-3</v>
          </cell>
          <cell r="R404">
            <v>113384.24751021285</v>
          </cell>
          <cell r="U404">
            <v>485.71565198484757</v>
          </cell>
        </row>
        <row r="405">
          <cell r="D405" t="str">
            <v>Fk x Ts1</v>
          </cell>
          <cell r="L405" t="str">
            <v>6.</v>
          </cell>
          <cell r="N405" t="str">
            <v>Water Tanker</v>
          </cell>
          <cell r="O405" t="str">
            <v>(E23)</v>
          </cell>
          <cell r="P405" t="str">
            <v>Jam</v>
          </cell>
          <cell r="Q405">
            <v>2.1084337349397592E-2</v>
          </cell>
          <cell r="R405">
            <v>67020.510980434308</v>
          </cell>
          <cell r="U405">
            <v>1413.0830628404826</v>
          </cell>
        </row>
        <row r="406">
          <cell r="C406" t="str">
            <v>Koefisien Alat / M3</v>
          </cell>
          <cell r="D406" t="str">
            <v xml:space="preserve"> =  1  :  Q1</v>
          </cell>
          <cell r="G406" t="str">
            <v>(E15)</v>
          </cell>
          <cell r="H406">
            <v>1.0040160642570281E-2</v>
          </cell>
          <cell r="I406" t="str">
            <v>Jam</v>
          </cell>
          <cell r="L406" t="str">
            <v>7.</v>
          </cell>
          <cell r="N406" t="str">
            <v>Alat Bantu</v>
          </cell>
          <cell r="P406" t="str">
            <v>Ls</v>
          </cell>
          <cell r="Q406">
            <v>1</v>
          </cell>
          <cell r="R406">
            <v>40</v>
          </cell>
          <cell r="U406">
            <v>40</v>
          </cell>
        </row>
        <row r="408">
          <cell r="A408" t="str">
            <v>2.b.</v>
          </cell>
          <cell r="C408" t="str">
            <v>DUMP TRUCK</v>
          </cell>
          <cell r="G408" t="str">
            <v>(E08)</v>
          </cell>
          <cell r="Q408" t="str">
            <v xml:space="preserve">JUMLAH HARGA PERALATAN   </v>
          </cell>
          <cell r="U408">
            <v>37804.959858647991</v>
          </cell>
        </row>
        <row r="409">
          <cell r="C409" t="str">
            <v>Kapasitas bak</v>
          </cell>
          <cell r="G409" t="str">
            <v>V</v>
          </cell>
          <cell r="H409">
            <v>4</v>
          </cell>
          <cell r="I409" t="str">
            <v>M3</v>
          </cell>
        </row>
        <row r="410">
          <cell r="C410" t="str">
            <v>Faktor Efisiensi alat</v>
          </cell>
          <cell r="G410" t="str">
            <v>Fa</v>
          </cell>
          <cell r="H410">
            <v>0.83</v>
          </cell>
          <cell r="I410" t="str">
            <v>-</v>
          </cell>
          <cell r="L410" t="str">
            <v>D.</v>
          </cell>
          <cell r="N410" t="str">
            <v>JUMLAH HARGA TENAGA, BAHAN DAN PERALATAN  ( A + B + C )</v>
          </cell>
          <cell r="U410">
            <v>229450.59913260362</v>
          </cell>
        </row>
        <row r="411">
          <cell r="C411" t="str">
            <v>Kecepatan rata-rata bermuatan</v>
          </cell>
          <cell r="G411" t="str">
            <v>v1</v>
          </cell>
          <cell r="H411">
            <v>45</v>
          </cell>
          <cell r="I411" t="str">
            <v>KM / Jam</v>
          </cell>
          <cell r="L411" t="str">
            <v>E.</v>
          </cell>
          <cell r="N411" t="str">
            <v>OVERHEAD &amp; PROFIT</v>
          </cell>
          <cell r="P411">
            <v>10</v>
          </cell>
          <cell r="Q411" t="str">
            <v>%  x  D</v>
          </cell>
          <cell r="U411">
            <v>22945.059913260364</v>
          </cell>
        </row>
        <row r="412">
          <cell r="C412" t="str">
            <v>Kecepatan rata-rata kosong</v>
          </cell>
          <cell r="G412" t="str">
            <v>v2</v>
          </cell>
          <cell r="H412">
            <v>60</v>
          </cell>
          <cell r="I412" t="str">
            <v>KM / Jam</v>
          </cell>
          <cell r="L412" t="str">
            <v>F.</v>
          </cell>
          <cell r="N412" t="str">
            <v>HARGA SATUAN PEKERJAAN  ( D + E )</v>
          </cell>
          <cell r="U412">
            <v>252395.65904586398</v>
          </cell>
        </row>
        <row r="413">
          <cell r="C413" t="str">
            <v>Waktu Siklus  :  - Waktu memuat = V : Q1 x 60</v>
          </cell>
          <cell r="G413" t="str">
            <v>T1</v>
          </cell>
          <cell r="H413">
            <v>2.4096385542168672</v>
          </cell>
          <cell r="I413" t="str">
            <v>menit</v>
          </cell>
          <cell r="L413" t="str">
            <v>Note: 1</v>
          </cell>
          <cell r="N413" t="str">
            <v>SATUAN dapat berdasarkan atas jam operasi untuk Tenaga Kerja dan Peralatan, volume dan/atau ukuran</v>
          </cell>
        </row>
        <row r="414">
          <cell r="C414" t="str">
            <v>- Waktu tempuh isi  =  (L : v1) x 60 menit</v>
          </cell>
          <cell r="G414" t="str">
            <v>T2</v>
          </cell>
          <cell r="H414">
            <v>11.633333333333333</v>
          </cell>
          <cell r="I414" t="str">
            <v>menit</v>
          </cell>
          <cell r="N414" t="str">
            <v>berat untuk bahan-bahan.</v>
          </cell>
        </row>
        <row r="415">
          <cell r="C415" t="str">
            <v>- Waktu tempuh kosong  =  (L : v2) x 60 menit</v>
          </cell>
          <cell r="G415" t="str">
            <v>T3</v>
          </cell>
          <cell r="H415">
            <v>8.7249999999999996</v>
          </cell>
          <cell r="I415" t="str">
            <v>menit</v>
          </cell>
          <cell r="L415">
            <v>2</v>
          </cell>
          <cell r="N415" t="str">
            <v>Kuantitas satuan adalah kuantitas setiap komponen untuk menyelesaikan satu satuan pekerjaan dari nomor</v>
          </cell>
        </row>
        <row r="416">
          <cell r="C416" t="str">
            <v>- Dump dan lain-lain</v>
          </cell>
          <cell r="G416" t="str">
            <v>T4</v>
          </cell>
          <cell r="H416">
            <v>3</v>
          </cell>
          <cell r="I416" t="str">
            <v>menit</v>
          </cell>
          <cell r="N416" t="str">
            <v>mata pembayaran.</v>
          </cell>
        </row>
        <row r="417">
          <cell r="G417" t="str">
            <v>Ts2</v>
          </cell>
          <cell r="H417">
            <v>25.7679718875502</v>
          </cell>
          <cell r="I417" t="str">
            <v>menit</v>
          </cell>
          <cell r="L417">
            <v>3</v>
          </cell>
          <cell r="N417" t="str">
            <v>Biaya satuan untuk peralatan sudah termasuk bahan bakar, bahan habis dipakai dan operator.</v>
          </cell>
        </row>
        <row r="418">
          <cell r="L418">
            <v>4</v>
          </cell>
          <cell r="N418" t="str">
            <v>Biaya satuan sudah termasuk pengeluaran untuk seluruh pajak yang berkaitan (tetapi tidak termasuk PPN</v>
          </cell>
        </row>
        <row r="419">
          <cell r="J419" t="str">
            <v>Berlanjut ke hal. berikut</v>
          </cell>
          <cell r="N419" t="str">
            <v>yang dibayar dari kontrak) dan biaya-biaya lainnya.</v>
          </cell>
        </row>
        <row r="420">
          <cell r="A420" t="str">
            <v>ITEM PEMBAYARAN NO.</v>
          </cell>
          <cell r="D420" t="str">
            <v>:  5.1 (3)</v>
          </cell>
          <cell r="J420" t="str">
            <v>Analisa EI-521</v>
          </cell>
        </row>
        <row r="421">
          <cell r="A421" t="str">
            <v>JENIS PEKERJAAN</v>
          </cell>
          <cell r="D421" t="str">
            <v>:  Lapis Pondasi Agregat Kelas C</v>
          </cell>
        </row>
        <row r="422">
          <cell r="A422" t="str">
            <v>SATUAN PEMBAYARAN</v>
          </cell>
          <cell r="D422" t="str">
            <v>:  M3</v>
          </cell>
          <cell r="H422" t="str">
            <v xml:space="preserve">         URAIAN ANALISA HARGA SATUAN</v>
          </cell>
        </row>
        <row r="423">
          <cell r="J423" t="str">
            <v>Lanjutan</v>
          </cell>
        </row>
        <row r="425">
          <cell r="A425" t="str">
            <v>No.</v>
          </cell>
          <cell r="C425" t="str">
            <v>U R A I A N</v>
          </cell>
          <cell r="G425" t="str">
            <v>KODE</v>
          </cell>
          <cell r="H425" t="str">
            <v>KOEF.</v>
          </cell>
          <cell r="I425" t="str">
            <v>SATUAN</v>
          </cell>
          <cell r="J425" t="str">
            <v>KETERANGAN</v>
          </cell>
        </row>
        <row r="428">
          <cell r="C428" t="str">
            <v xml:space="preserve">Kap. Prod./jam = </v>
          </cell>
          <cell r="D428" t="str">
            <v>V x Fa x 60</v>
          </cell>
          <cell r="G428" t="str">
            <v>Q2</v>
          </cell>
          <cell r="H428">
            <v>5.7263162269610763</v>
          </cell>
          <cell r="I428" t="str">
            <v>M3</v>
          </cell>
        </row>
        <row r="429">
          <cell r="D429" t="str">
            <v>Fk x Ts2</v>
          </cell>
        </row>
        <row r="430">
          <cell r="C430" t="str">
            <v>Koefisien Alat / M3</v>
          </cell>
          <cell r="D430" t="str">
            <v xml:space="preserve"> = 1 : Q2</v>
          </cell>
          <cell r="G430" t="str">
            <v>(E08)</v>
          </cell>
          <cell r="H430">
            <v>0.17463233959936131</v>
          </cell>
          <cell r="I430" t="str">
            <v>Jam</v>
          </cell>
        </row>
        <row r="432">
          <cell r="A432" t="str">
            <v>2.c.</v>
          </cell>
          <cell r="C432" t="str">
            <v>MOTOR GRADER</v>
          </cell>
          <cell r="G432" t="str">
            <v>(E13)</v>
          </cell>
        </row>
        <row r="433">
          <cell r="C433" t="str">
            <v>Panjang hamparan</v>
          </cell>
          <cell r="G433" t="str">
            <v>Lh</v>
          </cell>
          <cell r="H433">
            <v>50</v>
          </cell>
          <cell r="I433" t="str">
            <v>M</v>
          </cell>
        </row>
        <row r="434">
          <cell r="C434" t="str">
            <v>Lebar efektif kerja blade</v>
          </cell>
          <cell r="G434" t="str">
            <v>b</v>
          </cell>
          <cell r="H434">
            <v>2.4</v>
          </cell>
          <cell r="I434" t="str">
            <v>M</v>
          </cell>
        </row>
        <row r="435">
          <cell r="C435" t="str">
            <v>Faktor Efisiensi alat</v>
          </cell>
          <cell r="G435" t="str">
            <v>Fa</v>
          </cell>
          <cell r="H435">
            <v>0.83</v>
          </cell>
          <cell r="I435" t="str">
            <v>-</v>
          </cell>
        </row>
        <row r="436">
          <cell r="C436" t="str">
            <v>Kecepatan rata-rata alat</v>
          </cell>
          <cell r="G436" t="str">
            <v>v</v>
          </cell>
          <cell r="H436">
            <v>4</v>
          </cell>
          <cell r="I436" t="str">
            <v>KM / Jam</v>
          </cell>
        </row>
        <row r="437">
          <cell r="C437" t="str">
            <v>Jumlah lintasan</v>
          </cell>
          <cell r="G437" t="str">
            <v>n</v>
          </cell>
          <cell r="H437">
            <v>6</v>
          </cell>
          <cell r="I437" t="str">
            <v>lintasan</v>
          </cell>
          <cell r="J437" t="str">
            <v>3 x pp</v>
          </cell>
        </row>
        <row r="438">
          <cell r="C438" t="str">
            <v>Waktu Siklus</v>
          </cell>
          <cell r="G438" t="str">
            <v>Ts3</v>
          </cell>
        </row>
        <row r="439">
          <cell r="C439" t="str">
            <v>- Perataan 1 lintasan  = (Lh x 60) : (v x 1000)</v>
          </cell>
          <cell r="G439" t="str">
            <v>T1</v>
          </cell>
          <cell r="H439">
            <v>0.75</v>
          </cell>
          <cell r="I439" t="str">
            <v>menit</v>
          </cell>
        </row>
        <row r="440">
          <cell r="C440" t="str">
            <v>- Lain-lain</v>
          </cell>
          <cell r="G440" t="str">
            <v>T2</v>
          </cell>
          <cell r="H440">
            <v>1</v>
          </cell>
          <cell r="I440" t="str">
            <v>menit</v>
          </cell>
        </row>
        <row r="441">
          <cell r="G441" t="str">
            <v>Ts3</v>
          </cell>
          <cell r="H441">
            <v>1.75</v>
          </cell>
          <cell r="I441" t="str">
            <v>menit</v>
          </cell>
        </row>
        <row r="443">
          <cell r="C443" t="str">
            <v>Kap.Prod. / jam =</v>
          </cell>
          <cell r="D443" t="str">
            <v>Lh x b x t x Fa x 60</v>
          </cell>
          <cell r="G443" t="str">
            <v>Q3</v>
          </cell>
          <cell r="H443">
            <v>85.371428571428567</v>
          </cell>
          <cell r="I443" t="str">
            <v>M3</v>
          </cell>
        </row>
        <row r="444">
          <cell r="D444" t="str">
            <v>n x Ts3</v>
          </cell>
        </row>
        <row r="445">
          <cell r="C445" t="str">
            <v>Koefisien Alat / M3</v>
          </cell>
          <cell r="D445" t="str">
            <v xml:space="preserve"> = 1 : Q3</v>
          </cell>
          <cell r="G445" t="str">
            <v>(E13)</v>
          </cell>
          <cell r="H445">
            <v>1.1713520749665328E-2</v>
          </cell>
          <cell r="I445" t="str">
            <v>Jam</v>
          </cell>
        </row>
        <row r="447">
          <cell r="A447" t="str">
            <v>2.d.</v>
          </cell>
          <cell r="C447" t="str">
            <v>VIBRATORY ROLLER</v>
          </cell>
          <cell r="G447" t="str">
            <v>(E19)</v>
          </cell>
        </row>
        <row r="448">
          <cell r="C448" t="str">
            <v>Kecepatan rata-rata</v>
          </cell>
          <cell r="G448" t="str">
            <v>v</v>
          </cell>
          <cell r="H448">
            <v>2.5</v>
          </cell>
          <cell r="I448" t="str">
            <v>KM / Jam</v>
          </cell>
        </row>
        <row r="449">
          <cell r="C449" t="str">
            <v>Lebar efektif pemadatan</v>
          </cell>
          <cell r="G449" t="str">
            <v>b</v>
          </cell>
          <cell r="H449">
            <v>1.2</v>
          </cell>
          <cell r="I449" t="str">
            <v>M</v>
          </cell>
        </row>
        <row r="450">
          <cell r="C450" t="str">
            <v>Jumlah lintasan</v>
          </cell>
          <cell r="G450" t="str">
            <v>n</v>
          </cell>
          <cell r="H450">
            <v>8</v>
          </cell>
          <cell r="I450" t="str">
            <v>lintasan</v>
          </cell>
        </row>
        <row r="451">
          <cell r="C451" t="str">
            <v>Faktor Efisiensi alat</v>
          </cell>
          <cell r="G451" t="str">
            <v>Fa</v>
          </cell>
          <cell r="H451">
            <v>0.83</v>
          </cell>
          <cell r="I451" t="str">
            <v>-</v>
          </cell>
        </row>
        <row r="453">
          <cell r="C453" t="str">
            <v>Kap.Prod. / jam =</v>
          </cell>
          <cell r="D453" t="str">
            <v>(v x 1000) x b x t x Fa</v>
          </cell>
          <cell r="G453" t="str">
            <v>Q4</v>
          </cell>
          <cell r="H453">
            <v>46.6875</v>
          </cell>
          <cell r="I453" t="str">
            <v>M3</v>
          </cell>
        </row>
        <row r="454">
          <cell r="D454" t="str">
            <v>n</v>
          </cell>
        </row>
        <row r="455">
          <cell r="C455" t="str">
            <v>Koefisien Alat / M3</v>
          </cell>
          <cell r="D455" t="str">
            <v xml:space="preserve"> = 1 : Q4</v>
          </cell>
          <cell r="G455" t="str">
            <v>(E19)</v>
          </cell>
          <cell r="H455">
            <v>2.1419009370816599E-2</v>
          </cell>
          <cell r="I455" t="str">
            <v>Jam</v>
          </cell>
        </row>
        <row r="457">
          <cell r="A457" t="str">
            <v>2.e.</v>
          </cell>
          <cell r="C457" t="str">
            <v>PNEUMATIC TIRE ROLLER</v>
          </cell>
          <cell r="G457" t="str">
            <v>(E18)</v>
          </cell>
        </row>
        <row r="458">
          <cell r="C458" t="str">
            <v>Kecepatan rata-rata alat</v>
          </cell>
          <cell r="G458" t="str">
            <v>v</v>
          </cell>
          <cell r="H458">
            <v>5</v>
          </cell>
          <cell r="I458" t="str">
            <v>KM / Jam</v>
          </cell>
        </row>
        <row r="459">
          <cell r="C459" t="str">
            <v>Lebar efektif pemadatan</v>
          </cell>
          <cell r="G459" t="str">
            <v>b</v>
          </cell>
          <cell r="H459">
            <v>1.5</v>
          </cell>
          <cell r="I459" t="str">
            <v>M</v>
          </cell>
        </row>
        <row r="460">
          <cell r="C460" t="str">
            <v>Jumlah lintasan</v>
          </cell>
          <cell r="G460" t="str">
            <v>n</v>
          </cell>
          <cell r="H460">
            <v>4</v>
          </cell>
          <cell r="I460" t="str">
            <v>lintasan</v>
          </cell>
        </row>
        <row r="461">
          <cell r="C461" t="str">
            <v>Faktor Efisiensi alat</v>
          </cell>
          <cell r="G461" t="str">
            <v>Fa</v>
          </cell>
          <cell r="H461">
            <v>0.83</v>
          </cell>
          <cell r="I461" t="str">
            <v>-</v>
          </cell>
        </row>
        <row r="463">
          <cell r="C463" t="str">
            <v>Kap.Prod. / jam =</v>
          </cell>
          <cell r="D463" t="str">
            <v>(v x 1000) x b x t x Fa</v>
          </cell>
          <cell r="G463" t="str">
            <v>Q5</v>
          </cell>
          <cell r="H463">
            <v>233.4375</v>
          </cell>
          <cell r="I463" t="str">
            <v>M3</v>
          </cell>
        </row>
        <row r="464">
          <cell r="D464" t="str">
            <v>n</v>
          </cell>
        </row>
        <row r="465">
          <cell r="C465" t="str">
            <v>Koefisien Alat / M3</v>
          </cell>
          <cell r="D465" t="str">
            <v xml:space="preserve"> = 1 : Q5</v>
          </cell>
          <cell r="G465" t="str">
            <v>(E18)</v>
          </cell>
          <cell r="H465">
            <v>4.2838018741633201E-3</v>
          </cell>
          <cell r="I465" t="str">
            <v>Jam</v>
          </cell>
        </row>
        <row r="467">
          <cell r="A467" t="str">
            <v>2.f.</v>
          </cell>
          <cell r="C467" t="str">
            <v>WATERTANK TRUCK</v>
          </cell>
          <cell r="G467" t="str">
            <v>(E23)</v>
          </cell>
        </row>
        <row r="468">
          <cell r="C468" t="str">
            <v>Volume tangki air</v>
          </cell>
          <cell r="G468" t="str">
            <v>V</v>
          </cell>
          <cell r="H468">
            <v>4</v>
          </cell>
          <cell r="I468" t="str">
            <v>M3</v>
          </cell>
        </row>
        <row r="469">
          <cell r="C469" t="str">
            <v>Kebutuhan air / M3 agregat padat</v>
          </cell>
          <cell r="G469" t="str">
            <v>Wc</v>
          </cell>
          <cell r="H469">
            <v>7.0000000000000007E-2</v>
          </cell>
          <cell r="I469" t="str">
            <v>M3</v>
          </cell>
        </row>
        <row r="470">
          <cell r="C470" t="str">
            <v>Pengisian tangki / jam</v>
          </cell>
          <cell r="G470" t="str">
            <v>n</v>
          </cell>
          <cell r="H470">
            <v>1</v>
          </cell>
          <cell r="I470" t="str">
            <v>kali</v>
          </cell>
        </row>
        <row r="471">
          <cell r="C471" t="str">
            <v>Faktor Efisiensi alat</v>
          </cell>
          <cell r="G471" t="str">
            <v>Fa</v>
          </cell>
          <cell r="H471">
            <v>0.83</v>
          </cell>
          <cell r="I471" t="str">
            <v>-</v>
          </cell>
        </row>
        <row r="473">
          <cell r="C473" t="str">
            <v>Kap.Prod. / jam =</v>
          </cell>
          <cell r="D473" t="str">
            <v>V x n x Fa</v>
          </cell>
          <cell r="G473" t="str">
            <v>Q6</v>
          </cell>
          <cell r="H473">
            <v>47.428571428571423</v>
          </cell>
          <cell r="I473" t="str">
            <v>M3</v>
          </cell>
        </row>
        <row r="474">
          <cell r="D474" t="str">
            <v>Wc</v>
          </cell>
        </row>
        <row r="475">
          <cell r="C475" t="str">
            <v>Koefisien Alat / M3</v>
          </cell>
          <cell r="D475" t="str">
            <v xml:space="preserve"> = 1 : Q6</v>
          </cell>
          <cell r="G475" t="str">
            <v>(E23)</v>
          </cell>
          <cell r="H475">
            <v>2.1084337349397592E-2</v>
          </cell>
          <cell r="I475" t="str">
            <v>Jam</v>
          </cell>
        </row>
        <row r="478">
          <cell r="J478" t="str">
            <v>Berlanjut ke hal. berikut</v>
          </cell>
        </row>
        <row r="479">
          <cell r="A479" t="str">
            <v>ITEM PEMBAYARAN NO.</v>
          </cell>
          <cell r="D479" t="str">
            <v>:  5.1 (3)</v>
          </cell>
          <cell r="J479" t="str">
            <v>Analisa EI-521</v>
          </cell>
        </row>
        <row r="480">
          <cell r="A480" t="str">
            <v>JENIS PEKERJAAN</v>
          </cell>
          <cell r="D480" t="str">
            <v>:  Lapis Pondasi Agregat Kelas C</v>
          </cell>
        </row>
        <row r="481">
          <cell r="A481" t="str">
            <v>SATUAN PEMBAYARAN</v>
          </cell>
          <cell r="D481" t="str">
            <v>:  M3</v>
          </cell>
          <cell r="H481" t="str">
            <v xml:space="preserve">         URAIAN ANALISA HARGA SATUAN</v>
          </cell>
        </row>
        <row r="482">
          <cell r="J482" t="str">
            <v>Lanjutan</v>
          </cell>
        </row>
        <row r="484">
          <cell r="A484" t="str">
            <v>No.</v>
          </cell>
          <cell r="C484" t="str">
            <v>U R A I A N</v>
          </cell>
          <cell r="G484" t="str">
            <v>KODE</v>
          </cell>
          <cell r="H484" t="str">
            <v>KOEF.</v>
          </cell>
          <cell r="I484" t="str">
            <v>SATUAN</v>
          </cell>
          <cell r="J484" t="str">
            <v>KETERANGAN</v>
          </cell>
        </row>
        <row r="487">
          <cell r="A487" t="str">
            <v>2.g.</v>
          </cell>
          <cell r="C487" t="str">
            <v>ALAT BANTU</v>
          </cell>
        </row>
        <row r="488">
          <cell r="C488" t="str">
            <v>diperlukan :</v>
          </cell>
          <cell r="J488" t="str">
            <v>Lump Sum</v>
          </cell>
        </row>
        <row r="489">
          <cell r="C489" t="str">
            <v>- Kereta dorong     = 2 buah</v>
          </cell>
        </row>
        <row r="490">
          <cell r="C490" t="str">
            <v>- Sekop                = 3 buah</v>
          </cell>
        </row>
        <row r="491">
          <cell r="C491" t="str">
            <v>- Garpu                 = 2 buah</v>
          </cell>
        </row>
        <row r="493">
          <cell r="A493" t="str">
            <v xml:space="preserve">   3.</v>
          </cell>
          <cell r="C493" t="str">
            <v>TENAGA</v>
          </cell>
        </row>
        <row r="494">
          <cell r="C494" t="str">
            <v>Produksi menentukan : WHEEL LOADER</v>
          </cell>
          <cell r="G494" t="str">
            <v>Q1</v>
          </cell>
          <cell r="H494">
            <v>99.6</v>
          </cell>
          <cell r="I494" t="str">
            <v>M3 / Jam</v>
          </cell>
        </row>
        <row r="495">
          <cell r="C495" t="str">
            <v>Produksi Agregat / hari  =  Tk x Q1</v>
          </cell>
          <cell r="G495" t="str">
            <v>Qt</v>
          </cell>
          <cell r="H495">
            <v>697.19999999999993</v>
          </cell>
          <cell r="I495" t="str">
            <v>M3</v>
          </cell>
        </row>
        <row r="496">
          <cell r="C496" t="str">
            <v>Kebutuhan tenaga :</v>
          </cell>
        </row>
        <row r="497">
          <cell r="D497" t="str">
            <v>- Pekerja</v>
          </cell>
          <cell r="G497" t="str">
            <v>P</v>
          </cell>
          <cell r="H497">
            <v>7</v>
          </cell>
          <cell r="I497" t="str">
            <v>orang</v>
          </cell>
        </row>
        <row r="498">
          <cell r="D498" t="str">
            <v>- Mandor</v>
          </cell>
          <cell r="G498" t="str">
            <v>M</v>
          </cell>
          <cell r="H498">
            <v>1</v>
          </cell>
          <cell r="I498" t="str">
            <v>orang</v>
          </cell>
        </row>
        <row r="500">
          <cell r="C500" t="str">
            <v>Koefisien tenaga / M3     :</v>
          </cell>
        </row>
        <row r="501">
          <cell r="D501" t="str">
            <v>- Pekerja</v>
          </cell>
          <cell r="E501" t="str">
            <v>= (Tk x P) : Qt</v>
          </cell>
          <cell r="G501" t="str">
            <v>(L01)</v>
          </cell>
          <cell r="H501">
            <v>7.0281124497991981E-2</v>
          </cell>
          <cell r="I501" t="str">
            <v>Jam</v>
          </cell>
        </row>
        <row r="502">
          <cell r="D502" t="str">
            <v>- Mandor</v>
          </cell>
          <cell r="E502" t="str">
            <v>= (Tk x M) : Qt</v>
          </cell>
          <cell r="G502" t="str">
            <v>(L03)</v>
          </cell>
          <cell r="H502">
            <v>1.0040160642570283E-2</v>
          </cell>
          <cell r="I502" t="str">
            <v>Jam</v>
          </cell>
        </row>
        <row r="504">
          <cell r="A504" t="str">
            <v>4.</v>
          </cell>
          <cell r="C504" t="str">
            <v>HARGA DASAR SATUAN UPAH, BAHAN DAN ALAT</v>
          </cell>
        </row>
        <row r="505">
          <cell r="C505" t="str">
            <v>Lihat lampiran.</v>
          </cell>
        </row>
        <row r="507">
          <cell r="A507" t="str">
            <v>5.</v>
          </cell>
          <cell r="C507" t="str">
            <v>ANALISA HARGA SATUAN PEKERJAAN</v>
          </cell>
        </row>
        <row r="508">
          <cell r="C508" t="str">
            <v>Lihat perhitungan dalam FORMULIR STANDAR UNTUK</v>
          </cell>
        </row>
        <row r="509">
          <cell r="C509" t="str">
            <v>PEREKEMAN ANALISA MASING-MASING HARGA</v>
          </cell>
        </row>
        <row r="510">
          <cell r="C510" t="str">
            <v>SATUAN.</v>
          </cell>
        </row>
        <row r="511">
          <cell r="C511" t="str">
            <v>Didapat Harga Satuan Pekerjaan :</v>
          </cell>
        </row>
        <row r="513">
          <cell r="C513" t="str">
            <v xml:space="preserve">Rp.  </v>
          </cell>
          <cell r="D513">
            <v>252395.65904586398</v>
          </cell>
          <cell r="E513" t="str">
            <v xml:space="preserve"> / M3.</v>
          </cell>
        </row>
        <row r="516">
          <cell r="A516" t="str">
            <v>6.</v>
          </cell>
          <cell r="C516" t="str">
            <v>WAKTU PELAKSANAAN YANG DIPERLUKAN</v>
          </cell>
        </row>
        <row r="517">
          <cell r="C517" t="str">
            <v>Masa Pelaksanaan :</v>
          </cell>
          <cell r="D517" t="str">
            <v>. . . . . . . . . . . .</v>
          </cell>
          <cell r="E517" t="str">
            <v>bulan</v>
          </cell>
        </row>
        <row r="519">
          <cell r="A519" t="str">
            <v>7.</v>
          </cell>
          <cell r="C519" t="str">
            <v>VOLUME PEKERJAAN YANG DIPERLUKAN</v>
          </cell>
        </row>
        <row r="520">
          <cell r="C520" t="str">
            <v>Volume pekerjaan  :</v>
          </cell>
          <cell r="D520">
            <v>1</v>
          </cell>
          <cell r="E520" t="str">
            <v>M3</v>
          </cell>
        </row>
        <row r="3096">
          <cell r="A3096" t="str">
            <v>ITEM PEMBAYARAN NO.</v>
          </cell>
          <cell r="D3096" t="str">
            <v>: 5.5.(2)</v>
          </cell>
          <cell r="J3096" t="str">
            <v>Analisa EI-718</v>
          </cell>
          <cell r="T3096" t="str">
            <v>Analisa EI-718</v>
          </cell>
        </row>
        <row r="3097">
          <cell r="A3097" t="str">
            <v>JENIS PEKERJAAN</v>
          </cell>
          <cell r="D3097" t="str">
            <v>: Pekerjaan LFAS Kelas B</v>
          </cell>
        </row>
        <row r="3098">
          <cell r="A3098" t="str">
            <v>SATUAN PEMBAYARAN</v>
          </cell>
          <cell r="D3098" t="str">
            <v>:  M3</v>
          </cell>
          <cell r="H3098" t="str">
            <v xml:space="preserve">        URAIAN ANALISA HARGA SATUAN</v>
          </cell>
          <cell r="L3098" t="str">
            <v>FORMULIR STANDAR UNTUK</v>
          </cell>
        </row>
        <row r="3099">
          <cell r="L3099" t="str">
            <v>PEREKAMAN ANALISA MASING-MASING HARGA SATUAN</v>
          </cell>
        </row>
        <row r="3100">
          <cell r="L3100" t="str">
            <v xml:space="preserve">                                                                                                            </v>
          </cell>
        </row>
        <row r="3101">
          <cell r="A3101" t="str">
            <v>No.</v>
          </cell>
          <cell r="C3101" t="str">
            <v>U R A I A N</v>
          </cell>
          <cell r="G3101" t="str">
            <v>KODE</v>
          </cell>
          <cell r="H3101" t="str">
            <v>KOEF.</v>
          </cell>
          <cell r="I3101" t="str">
            <v>SATUAN</v>
          </cell>
          <cell r="J3101" t="str">
            <v>KETERANGAN</v>
          </cell>
        </row>
        <row r="3103">
          <cell r="L3103" t="str">
            <v>PROYEK</v>
          </cell>
          <cell r="O3103" t="str">
            <v>:</v>
          </cell>
        </row>
        <row r="3104">
          <cell r="A3104" t="str">
            <v>I.</v>
          </cell>
          <cell r="C3104" t="str">
            <v>ASUMSI</v>
          </cell>
          <cell r="L3104" t="str">
            <v>No. PAKET KONTRAK</v>
          </cell>
          <cell r="O3104" t="str">
            <v>:</v>
          </cell>
        </row>
        <row r="3105">
          <cell r="A3105">
            <v>1</v>
          </cell>
          <cell r="C3105" t="str">
            <v>Menggunakan alat (cara mekanik)</v>
          </cell>
          <cell r="L3105" t="str">
            <v>NAMA PAKET</v>
          </cell>
          <cell r="O3105" t="str">
            <v>:</v>
          </cell>
        </row>
        <row r="3106">
          <cell r="A3106">
            <v>2</v>
          </cell>
          <cell r="C3106" t="str">
            <v>Lokasi pekerjaan : sepanjang jalan</v>
          </cell>
          <cell r="L3106" t="str">
            <v>PROP / KAB / KODYA</v>
          </cell>
          <cell r="O3106" t="str">
            <v>:</v>
          </cell>
        </row>
        <row r="3107">
          <cell r="A3107">
            <v>3</v>
          </cell>
          <cell r="C3107" t="str">
            <v>Agregat merupakan bahan Lapis Pondasi Agregat</v>
          </cell>
          <cell r="L3107" t="str">
            <v>ITEM PEMBAYARAN NO.</v>
          </cell>
          <cell r="O3107" t="str">
            <v>: 5.5.(2)</v>
          </cell>
          <cell r="R3107" t="str">
            <v>PERKIRAAN VOL. PEK.</v>
          </cell>
          <cell r="T3107" t="str">
            <v>:</v>
          </cell>
          <cell r="U3107">
            <v>1</v>
          </cell>
        </row>
        <row r="3108">
          <cell r="C3108" t="str">
            <v>Kelas B yang telah dicampur di base camp dan</v>
          </cell>
          <cell r="L3108" t="str">
            <v>JENIS PEKERJAAN</v>
          </cell>
          <cell r="O3108" t="str">
            <v>: Pekerjaan LFAS Kelas B</v>
          </cell>
          <cell r="R3108" t="str">
            <v>TOTAL HARGA (Rp.)</v>
          </cell>
          <cell r="T3108" t="str">
            <v>:</v>
          </cell>
          <cell r="U3108">
            <v>31522.779454667012</v>
          </cell>
        </row>
        <row r="3109">
          <cell r="C3109" t="str">
            <v>selanjutnya dimuat ke truck dengan wheel loader</v>
          </cell>
        </row>
        <row r="3110">
          <cell r="A3110">
            <v>4</v>
          </cell>
          <cell r="C3110" t="str">
            <v>Jarak rata-rata Base camp ke lokasi pekerjaan</v>
          </cell>
          <cell r="G3110" t="str">
            <v>L</v>
          </cell>
          <cell r="H3110">
            <v>8.7249999999999996</v>
          </cell>
          <cell r="I3110" t="str">
            <v>KM</v>
          </cell>
          <cell r="L3110" t="str">
            <v>SATUAN PEMBAYARAN</v>
          </cell>
          <cell r="O3110" t="str">
            <v>:  M3</v>
          </cell>
          <cell r="R3110" t="str">
            <v>% THD. BIAYA PROYEK</v>
          </cell>
          <cell r="T3110" t="str">
            <v>:</v>
          </cell>
          <cell r="U3110" t="e">
            <v>#DIV/0!</v>
          </cell>
        </row>
        <row r="3111">
          <cell r="A3111">
            <v>5</v>
          </cell>
          <cell r="C3111" t="str">
            <v>Jam kerja efektif per-hari</v>
          </cell>
          <cell r="G3111" t="str">
            <v>Tk</v>
          </cell>
          <cell r="H3111">
            <v>7</v>
          </cell>
          <cell r="I3111" t="str">
            <v>jam</v>
          </cell>
        </row>
        <row r="3112">
          <cell r="A3112">
            <v>6</v>
          </cell>
          <cell r="C3112" t="str">
            <v>Kadar Semen Minimum (Spesifikasi)</v>
          </cell>
          <cell r="G3112" t="str">
            <v>Ks</v>
          </cell>
          <cell r="H3112">
            <v>250</v>
          </cell>
          <cell r="I3112" t="str">
            <v>Kg/M3</v>
          </cell>
        </row>
        <row r="3113">
          <cell r="A3113">
            <v>7</v>
          </cell>
          <cell r="C3113" t="str">
            <v>Perbandingan Air/Semen Maksimum (Spesifikasi)</v>
          </cell>
          <cell r="G3113" t="str">
            <v>Wcr</v>
          </cell>
          <cell r="H3113">
            <v>0.6</v>
          </cell>
          <cell r="I3113" t="str">
            <v>-</v>
          </cell>
          <cell r="L3113" t="str">
            <v>NO.</v>
          </cell>
          <cell r="N3113" t="str">
            <v>KOMPONEN</v>
          </cell>
          <cell r="P3113" t="str">
            <v>SATUAN</v>
          </cell>
          <cell r="Q3113" t="str">
            <v>KUANTITAS</v>
          </cell>
          <cell r="R3113" t="str">
            <v>SATUAN</v>
          </cell>
          <cell r="S3113" t="str">
            <v>HARGA</v>
          </cell>
        </row>
        <row r="3114">
          <cell r="A3114">
            <v>8</v>
          </cell>
          <cell r="C3114" t="str">
            <v>Perbandingan Camp.</v>
          </cell>
          <cell r="D3114">
            <v>4</v>
          </cell>
          <cell r="E3114" t="str">
            <v>:  Semen</v>
          </cell>
          <cell r="G3114" t="str">
            <v>Sm</v>
          </cell>
          <cell r="H3114">
            <v>4</v>
          </cell>
          <cell r="I3114" t="str">
            <v>%</v>
          </cell>
          <cell r="J3114" t="str">
            <v xml:space="preserve"> Berdasarkan</v>
          </cell>
          <cell r="R3114" t="str">
            <v>(Rp.)</v>
          </cell>
          <cell r="S3114" t="str">
            <v>(Rp.)</v>
          </cell>
        </row>
        <row r="3115">
          <cell r="D3115">
            <v>20</v>
          </cell>
          <cell r="E3115" t="str">
            <v>:  Agregat Halus</v>
          </cell>
          <cell r="G3115" t="str">
            <v>Fa</v>
          </cell>
          <cell r="H3115">
            <v>19.2</v>
          </cell>
          <cell r="I3115" t="str">
            <v>%</v>
          </cell>
          <cell r="J3115" t="str">
            <v xml:space="preserve"> JMF &amp; sesuai</v>
          </cell>
        </row>
        <row r="3116">
          <cell r="D3116">
            <v>35</v>
          </cell>
          <cell r="E3116" t="str">
            <v>:  Agregat Kasar</v>
          </cell>
          <cell r="G3116" t="str">
            <v>Ca</v>
          </cell>
          <cell r="H3116">
            <v>33.6</v>
          </cell>
          <cell r="I3116" t="str">
            <v>%</v>
          </cell>
          <cell r="J3116" t="str">
            <v xml:space="preserve"> dgn Spesifikasi</v>
          </cell>
        </row>
        <row r="3117">
          <cell r="D3117">
            <v>45</v>
          </cell>
          <cell r="E3117" t="str">
            <v>: Sirtu</v>
          </cell>
          <cell r="G3117" t="str">
            <v>Sr</v>
          </cell>
          <cell r="H3117">
            <v>43.2</v>
          </cell>
          <cell r="I3117" t="str">
            <v>%</v>
          </cell>
        </row>
        <row r="3118">
          <cell r="A3118">
            <v>9</v>
          </cell>
          <cell r="C3118" t="str">
            <v>Berat Jenis Material :</v>
          </cell>
          <cell r="L3118" t="str">
            <v>A.</v>
          </cell>
          <cell r="N3118" t="str">
            <v>TENAGA</v>
          </cell>
        </row>
        <row r="3119">
          <cell r="C3119" t="str">
            <v>-  Beton</v>
          </cell>
          <cell r="G3119" t="str">
            <v>D1</v>
          </cell>
          <cell r="H3119">
            <v>2.25</v>
          </cell>
          <cell r="I3119" t="str">
            <v>T/M3</v>
          </cell>
        </row>
        <row r="3120">
          <cell r="C3120" t="str">
            <v>-  Semen</v>
          </cell>
          <cell r="G3120" t="str">
            <v>D2</v>
          </cell>
          <cell r="H3120">
            <v>3</v>
          </cell>
          <cell r="I3120" t="str">
            <v>T/M3</v>
          </cell>
          <cell r="L3120" t="str">
            <v>1.</v>
          </cell>
          <cell r="N3120" t="str">
            <v>Pekerja</v>
          </cell>
          <cell r="O3120" t="str">
            <v>(L01)</v>
          </cell>
          <cell r="P3120" t="str">
            <v>jam</v>
          </cell>
          <cell r="Q3120">
            <v>5.3012048192771086</v>
          </cell>
          <cell r="R3120">
            <v>2857.14</v>
          </cell>
          <cell r="U3120">
            <v>15146.284337349398</v>
          </cell>
        </row>
        <row r="3121">
          <cell r="C3121" t="str">
            <v>-  Agregat Halus</v>
          </cell>
          <cell r="G3121" t="str">
            <v>D3</v>
          </cell>
          <cell r="H3121">
            <v>2.1</v>
          </cell>
          <cell r="I3121" t="str">
            <v>T/M3</v>
          </cell>
          <cell r="L3121" t="str">
            <v>2.</v>
          </cell>
          <cell r="N3121" t="str">
            <v>Tukang</v>
          </cell>
          <cell r="O3121" t="str">
            <v>(L02)</v>
          </cell>
          <cell r="P3121" t="str">
            <v>jam</v>
          </cell>
          <cell r="Q3121">
            <v>1.7670682730923695</v>
          </cell>
          <cell r="R3121">
            <v>4285.71</v>
          </cell>
          <cell r="U3121">
            <v>7573.142168674699</v>
          </cell>
        </row>
        <row r="3122">
          <cell r="C3122" t="str">
            <v>-  Agregat Kasar</v>
          </cell>
          <cell r="G3122" t="str">
            <v>D4</v>
          </cell>
          <cell r="H3122">
            <v>2.1</v>
          </cell>
          <cell r="I3122" t="str">
            <v>T/M3</v>
          </cell>
          <cell r="L3122" t="str">
            <v>3.</v>
          </cell>
          <cell r="N3122" t="str">
            <v>Mandor</v>
          </cell>
          <cell r="O3122" t="str">
            <v>(L03)</v>
          </cell>
          <cell r="P3122" t="str">
            <v>jam</v>
          </cell>
          <cell r="Q3122">
            <v>0.44176706827309237</v>
          </cell>
          <cell r="R3122">
            <v>3214.29</v>
          </cell>
          <cell r="U3122">
            <v>1419.9674698795181</v>
          </cell>
        </row>
        <row r="3123">
          <cell r="C3123" t="str">
            <v>-  Sirtu</v>
          </cell>
          <cell r="G3123" t="str">
            <v>D5</v>
          </cell>
          <cell r="H3123">
            <v>1.8</v>
          </cell>
          <cell r="I3123" t="str">
            <v>T/M3</v>
          </cell>
        </row>
        <row r="3125">
          <cell r="A3125" t="str">
            <v>II.</v>
          </cell>
          <cell r="C3125" t="str">
            <v>URUTAN KERJA</v>
          </cell>
          <cell r="Q3125" t="str">
            <v xml:space="preserve">JUMLAH HARGA TENAGA   </v>
          </cell>
          <cell r="U3125">
            <v>24139.393975903615</v>
          </cell>
        </row>
        <row r="3126">
          <cell r="A3126">
            <v>1</v>
          </cell>
          <cell r="C3126" t="str">
            <v>Semen, pasir, batu kerikil dan air dicampur dan diaduk</v>
          </cell>
        </row>
        <row r="3127">
          <cell r="C3127" t="str">
            <v>menjadi beton dengan menggunakan Concrete Mixer</v>
          </cell>
          <cell r="L3127" t="str">
            <v>B.</v>
          </cell>
          <cell r="N3127" t="str">
            <v>BAHAN</v>
          </cell>
        </row>
        <row r="3128">
          <cell r="A3128">
            <v>2</v>
          </cell>
          <cell r="C3128" t="str">
            <v>Beton di-cor ke dalam bekisting yang telah disiapkan</v>
          </cell>
        </row>
        <row r="3129">
          <cell r="A3129">
            <v>3</v>
          </cell>
          <cell r="C3129" t="str">
            <v>Penyelesaian dan perapihan setelah pemasangan</v>
          </cell>
          <cell r="L3129" t="str">
            <v>1.</v>
          </cell>
          <cell r="N3129" t="str">
            <v>Semen</v>
          </cell>
          <cell r="O3129" t="str">
            <v>(M12)</v>
          </cell>
          <cell r="P3129" t="str">
            <v>Kg</v>
          </cell>
          <cell r="Q3129">
            <v>92.249999999999986</v>
          </cell>
          <cell r="R3129">
            <v>688.65625</v>
          </cell>
          <cell r="U3129">
            <v>63528.539062499993</v>
          </cell>
        </row>
        <row r="3130">
          <cell r="L3130" t="str">
            <v>2.</v>
          </cell>
          <cell r="N3130" t="str">
            <v>Pasir</v>
          </cell>
          <cell r="O3130" t="str">
            <v>(M01)</v>
          </cell>
          <cell r="P3130" t="str">
            <v>M3</v>
          </cell>
          <cell r="Q3130">
            <v>0.21085714285714283</v>
          </cell>
          <cell r="R3130">
            <v>54300</v>
          </cell>
          <cell r="U3130">
            <v>11449.542857142855</v>
          </cell>
        </row>
        <row r="3131">
          <cell r="A3131" t="str">
            <v>III.</v>
          </cell>
          <cell r="C3131" t="str">
            <v>PEMAKAIAN BAHAN, ALAT DAN TENAGA</v>
          </cell>
          <cell r="L3131" t="str">
            <v>3.</v>
          </cell>
          <cell r="N3131" t="str">
            <v>Agregat Kasar</v>
          </cell>
          <cell r="O3131" t="str">
            <v>(M03)</v>
          </cell>
          <cell r="P3131" t="str">
            <v>M3</v>
          </cell>
          <cell r="Q3131">
            <v>0.36899999999999994</v>
          </cell>
          <cell r="R3131">
            <v>222345.54558042376</v>
          </cell>
          <cell r="U3131">
            <v>82045.506319176347</v>
          </cell>
        </row>
        <row r="3132">
          <cell r="L3132" t="str">
            <v>5.</v>
          </cell>
          <cell r="N3132" t="str">
            <v>Kayu Perancah</v>
          </cell>
          <cell r="O3132" t="str">
            <v>(M19)</v>
          </cell>
          <cell r="P3132" t="str">
            <v>M3</v>
          </cell>
          <cell r="Q3132">
            <v>0.05</v>
          </cell>
          <cell r="R3132">
            <v>1466250</v>
          </cell>
          <cell r="U3132">
            <v>73312.5</v>
          </cell>
        </row>
        <row r="3133">
          <cell r="A3133" t="str">
            <v xml:space="preserve">   1.</v>
          </cell>
          <cell r="C3133" t="str">
            <v>BAHAN</v>
          </cell>
          <cell r="L3133" t="str">
            <v>6.</v>
          </cell>
          <cell r="N3133" t="str">
            <v>Paku</v>
          </cell>
          <cell r="O3133" t="str">
            <v>(M18)</v>
          </cell>
          <cell r="P3133" t="str">
            <v>Kg</v>
          </cell>
          <cell r="Q3133">
            <v>0.4</v>
          </cell>
          <cell r="R3133">
            <v>5500</v>
          </cell>
          <cell r="U3133">
            <v>2200</v>
          </cell>
        </row>
        <row r="3134">
          <cell r="A3134" t="str">
            <v>1.a.</v>
          </cell>
          <cell r="C3134" t="str">
            <v>Semen (PC)          =</v>
          </cell>
          <cell r="D3134" t="str">
            <v xml:space="preserve">   {Sm x D1 x 1000} x 1.025</v>
          </cell>
          <cell r="G3134" t="str">
            <v>(M12)</v>
          </cell>
          <cell r="H3134">
            <v>92.249999999999986</v>
          </cell>
          <cell r="I3134" t="str">
            <v>Kg</v>
          </cell>
        </row>
        <row r="3135">
          <cell r="A3135" t="str">
            <v>1.b.</v>
          </cell>
          <cell r="C3135" t="str">
            <v>Agregat Halus</v>
          </cell>
          <cell r="D3135" t="str">
            <v xml:space="preserve">   {(Ps x D1) : D3} x 1.025</v>
          </cell>
          <cell r="G3135" t="str">
            <v>(M01)</v>
          </cell>
          <cell r="H3135">
            <v>0.21085714285714283</v>
          </cell>
          <cell r="I3135" t="str">
            <v>M3</v>
          </cell>
          <cell r="Q3135" t="str">
            <v xml:space="preserve">JUMLAH HARGA BAHAN   </v>
          </cell>
          <cell r="U3135">
            <v>232536.08823881921</v>
          </cell>
        </row>
        <row r="3136">
          <cell r="A3136" t="str">
            <v>1.c.</v>
          </cell>
          <cell r="C3136" t="str">
            <v>Agregat Kasar</v>
          </cell>
          <cell r="D3136" t="str">
            <v xml:space="preserve">   {(Kr x D1) : D4} x 1.025</v>
          </cell>
          <cell r="G3136" t="str">
            <v>(M03)</v>
          </cell>
          <cell r="H3136">
            <v>0.36899999999999994</v>
          </cell>
          <cell r="I3136" t="str">
            <v>M3</v>
          </cell>
          <cell r="J3136" t="str">
            <v xml:space="preserve"> Agregat Kasar</v>
          </cell>
        </row>
        <row r="3137">
          <cell r="C3137" t="str">
            <v>Sirtu</v>
          </cell>
          <cell r="H3137">
            <v>0.55349999999999999</v>
          </cell>
          <cell r="I3137" t="str">
            <v>M3</v>
          </cell>
        </row>
        <row r="3138">
          <cell r="A3138" t="str">
            <v>1.e.</v>
          </cell>
          <cell r="C3138" t="str">
            <v>Bekisting</v>
          </cell>
          <cell r="G3138" t="str">
            <v>(M19)</v>
          </cell>
          <cell r="H3138">
            <v>0.05</v>
          </cell>
          <cell r="I3138" t="str">
            <v>M3</v>
          </cell>
        </row>
        <row r="3139">
          <cell r="A3139" t="str">
            <v>1.f</v>
          </cell>
          <cell r="C3139" t="str">
            <v>Paku</v>
          </cell>
          <cell r="G3139" t="str">
            <v>(M18)</v>
          </cell>
          <cell r="H3139">
            <v>0.4</v>
          </cell>
          <cell r="I3139" t="str">
            <v>Kg</v>
          </cell>
        </row>
        <row r="3141">
          <cell r="A3141" t="str">
            <v>2.</v>
          </cell>
          <cell r="C3141" t="str">
            <v>ALAT</v>
          </cell>
        </row>
        <row r="3142">
          <cell r="A3142" t="str">
            <v>2.a.</v>
          </cell>
          <cell r="C3142" t="str">
            <v>CONCRETE MIXER</v>
          </cell>
          <cell r="G3142" t="str">
            <v>(E06)</v>
          </cell>
        </row>
        <row r="3143">
          <cell r="C3143" t="str">
            <v>Kapasitas Alat</v>
          </cell>
          <cell r="G3143" t="str">
            <v>V</v>
          </cell>
          <cell r="H3143">
            <v>500</v>
          </cell>
          <cell r="I3143" t="str">
            <v>liter</v>
          </cell>
        </row>
        <row r="3144">
          <cell r="C3144" t="str">
            <v>Faktor Efisiensi Alat</v>
          </cell>
          <cell r="G3144" t="str">
            <v>Fa</v>
          </cell>
          <cell r="H3144">
            <v>0.83</v>
          </cell>
          <cell r="I3144" t="str">
            <v>-</v>
          </cell>
        </row>
        <row r="3145">
          <cell r="C3145" t="str">
            <v>Waktu siklus   :</v>
          </cell>
          <cell r="D3145" t="str">
            <v>(T1 + T2 + T3 + T4)</v>
          </cell>
          <cell r="G3145" t="str">
            <v>Ts</v>
          </cell>
        </row>
        <row r="3146">
          <cell r="C3146" t="str">
            <v>-  Memuat</v>
          </cell>
          <cell r="G3146" t="str">
            <v>T1</v>
          </cell>
          <cell r="H3146">
            <v>3</v>
          </cell>
          <cell r="I3146" t="str">
            <v>menit</v>
          </cell>
        </row>
        <row r="3147">
          <cell r="C3147" t="str">
            <v>-  Mengaduk</v>
          </cell>
          <cell r="G3147" t="str">
            <v>T2</v>
          </cell>
          <cell r="H3147">
            <v>2</v>
          </cell>
          <cell r="I3147" t="str">
            <v>menit</v>
          </cell>
        </row>
        <row r="3148">
          <cell r="C3148" t="str">
            <v>-  Menuang</v>
          </cell>
          <cell r="G3148" t="str">
            <v>T3</v>
          </cell>
          <cell r="H3148">
            <v>3</v>
          </cell>
          <cell r="I3148" t="str">
            <v>menit</v>
          </cell>
        </row>
        <row r="3149">
          <cell r="C3149" t="str">
            <v>-  Tunggu, dll.</v>
          </cell>
          <cell r="G3149" t="str">
            <v>T4</v>
          </cell>
          <cell r="H3149">
            <v>3</v>
          </cell>
          <cell r="I3149" t="str">
            <v>menit</v>
          </cell>
        </row>
        <row r="3150">
          <cell r="G3150" t="str">
            <v>Ts</v>
          </cell>
          <cell r="H3150">
            <v>11</v>
          </cell>
          <cell r="I3150" t="str">
            <v>menit</v>
          </cell>
        </row>
        <row r="3152">
          <cell r="C3152" t="str">
            <v>Kap. Prod. / jam  =</v>
          </cell>
          <cell r="D3152" t="str">
            <v>V x Fa x 60</v>
          </cell>
          <cell r="G3152" t="str">
            <v>Q1</v>
          </cell>
          <cell r="H3152">
            <v>2.2636363636363637</v>
          </cell>
          <cell r="I3152" t="str">
            <v>M3</v>
          </cell>
        </row>
        <row r="3153">
          <cell r="D3153" t="str">
            <v>1000 x Ts</v>
          </cell>
        </row>
        <row r="3155">
          <cell r="C3155" t="str">
            <v>Koefisien Alat / M3</v>
          </cell>
          <cell r="D3155" t="str">
            <v xml:space="preserve">  =   1  :  Q1</v>
          </cell>
          <cell r="G3155" t="str">
            <v>(E06)</v>
          </cell>
          <cell r="H3155">
            <v>0.44176706827309237</v>
          </cell>
          <cell r="I3155" t="str">
            <v>jam</v>
          </cell>
        </row>
        <row r="3159">
          <cell r="J3159" t="str">
            <v>Berlanjut ke hal. berikut.</v>
          </cell>
        </row>
        <row r="3160">
          <cell r="A3160" t="str">
            <v>ITEM PEMBAYARAN NO.</v>
          </cell>
          <cell r="D3160" t="str">
            <v>: 5.5.(2)</v>
          </cell>
          <cell r="J3160" t="str">
            <v>Analisa EI-718</v>
          </cell>
        </row>
        <row r="3161">
          <cell r="A3161" t="str">
            <v>JENIS PEKERJAAN</v>
          </cell>
          <cell r="D3161" t="str">
            <v>: Pekerjaan LFAS Kelas B</v>
          </cell>
        </row>
        <row r="3162">
          <cell r="A3162" t="str">
            <v>SATUAN PEMBAYARAN</v>
          </cell>
          <cell r="D3162" t="str">
            <v>:  M3</v>
          </cell>
          <cell r="H3162" t="str">
            <v xml:space="preserve">        URAIAN ANALISA HARGA SATUAN</v>
          </cell>
        </row>
        <row r="3163">
          <cell r="J3163" t="str">
            <v>Lanjutan</v>
          </cell>
        </row>
        <row r="3165">
          <cell r="A3165" t="str">
            <v>No.</v>
          </cell>
          <cell r="C3165" t="str">
            <v>U R A I A N</v>
          </cell>
          <cell r="G3165" t="str">
            <v>KODE</v>
          </cell>
          <cell r="H3165" t="str">
            <v>KOEF.</v>
          </cell>
          <cell r="I3165" t="str">
            <v>SATUAN</v>
          </cell>
          <cell r="J3165" t="str">
            <v>KETERANGAN</v>
          </cell>
        </row>
        <row r="3168">
          <cell r="A3168" t="str">
            <v>2.b.</v>
          </cell>
          <cell r="C3168" t="str">
            <v>WATER TANK TRUCK</v>
          </cell>
          <cell r="G3168" t="str">
            <v>(E23)</v>
          </cell>
        </row>
        <row r="3169">
          <cell r="C3169" t="str">
            <v>Volume Tanki Air</v>
          </cell>
          <cell r="G3169" t="str">
            <v>V</v>
          </cell>
          <cell r="H3169">
            <v>4</v>
          </cell>
          <cell r="I3169" t="str">
            <v>M3</v>
          </cell>
        </row>
        <row r="3170">
          <cell r="C3170" t="str">
            <v>Kebutuhan air / M3 beton</v>
          </cell>
          <cell r="G3170" t="str">
            <v>Wc</v>
          </cell>
          <cell r="H3170">
            <v>5.5349999999999989E-2</v>
          </cell>
          <cell r="I3170" t="str">
            <v>M3</v>
          </cell>
        </row>
        <row r="3171">
          <cell r="C3171" t="str">
            <v>Faktor Efiesiensi Alat</v>
          </cell>
          <cell r="G3171" t="str">
            <v>Fa</v>
          </cell>
          <cell r="H3171">
            <v>0.83</v>
          </cell>
          <cell r="I3171" t="str">
            <v>-</v>
          </cell>
        </row>
        <row r="3172">
          <cell r="C3172" t="str">
            <v>Pengisian Tanki / jam</v>
          </cell>
          <cell r="G3172" t="str">
            <v>n</v>
          </cell>
          <cell r="H3172">
            <v>1</v>
          </cell>
          <cell r="I3172" t="str">
            <v>kali</v>
          </cell>
        </row>
        <row r="3174">
          <cell r="C3174" t="str">
            <v>Kap. Prod. / jam  =</v>
          </cell>
          <cell r="D3174" t="str">
            <v>V x Fa x n</v>
          </cell>
          <cell r="G3174" t="str">
            <v>Q2</v>
          </cell>
          <cell r="H3174">
            <v>59.981933152664865</v>
          </cell>
          <cell r="I3174" t="str">
            <v>M3</v>
          </cell>
        </row>
        <row r="3175">
          <cell r="D3175" t="str">
            <v>Wc</v>
          </cell>
        </row>
        <row r="3177">
          <cell r="C3177" t="str">
            <v>Koefisien Alat / M3</v>
          </cell>
          <cell r="D3177" t="str">
            <v xml:space="preserve">  =   1  :  Q2</v>
          </cell>
          <cell r="G3177" t="str">
            <v>(E23)</v>
          </cell>
          <cell r="H3177">
            <v>1.6671686746987949E-2</v>
          </cell>
          <cell r="I3177" t="str">
            <v>jam</v>
          </cell>
        </row>
        <row r="3179">
          <cell r="A3179" t="str">
            <v>2.c.</v>
          </cell>
          <cell r="C3179" t="str">
            <v>CONCRETE VIBRATOR</v>
          </cell>
          <cell r="G3179" t="str">
            <v>(E20)</v>
          </cell>
        </row>
        <row r="3180">
          <cell r="C3180" t="str">
            <v>Kebutuhan Alat Penggetar Beton ini disesuaikan dengan</v>
          </cell>
        </row>
        <row r="3181">
          <cell r="C3181" t="str">
            <v>kapasitas produksi Alat Pencampur (Concrete Mixer)</v>
          </cell>
        </row>
        <row r="3183">
          <cell r="C3183" t="str">
            <v>Kap. Prod. / jam  =</v>
          </cell>
          <cell r="D3183" t="str">
            <v>Kap.Prod./Jam Alat Concrete Mixer</v>
          </cell>
          <cell r="G3183" t="str">
            <v>Q3</v>
          </cell>
          <cell r="H3183">
            <v>2.2636363636363637</v>
          </cell>
          <cell r="I3183" t="str">
            <v>M3</v>
          </cell>
        </row>
        <row r="3185">
          <cell r="C3185" t="str">
            <v>Koefisien Alat / M3</v>
          </cell>
          <cell r="D3185" t="str">
            <v xml:space="preserve">  =   1  :  Q3</v>
          </cell>
          <cell r="G3185" t="str">
            <v>(E20)</v>
          </cell>
          <cell r="H3185">
            <v>0.44176706827309237</v>
          </cell>
          <cell r="I3185" t="str">
            <v>jam</v>
          </cell>
        </row>
        <row r="3187">
          <cell r="A3187" t="str">
            <v>2.c.</v>
          </cell>
          <cell r="C3187" t="str">
            <v>ALAT BANTU</v>
          </cell>
        </row>
        <row r="3188">
          <cell r="C3188" t="str">
            <v>Diperlukan  :</v>
          </cell>
        </row>
        <row r="3189">
          <cell r="C3189" t="str">
            <v>- Sekop</v>
          </cell>
          <cell r="D3189" t="str">
            <v>=  2  buah</v>
          </cell>
        </row>
        <row r="3190">
          <cell r="C3190" t="str">
            <v>- Pacul</v>
          </cell>
          <cell r="D3190" t="str">
            <v>=  2  buah</v>
          </cell>
        </row>
        <row r="3191">
          <cell r="C3191" t="str">
            <v>- Sendok Semen</v>
          </cell>
          <cell r="D3191" t="str">
            <v>=  2  buah</v>
          </cell>
        </row>
        <row r="3192">
          <cell r="C3192" t="str">
            <v>- Ember Cor</v>
          </cell>
          <cell r="D3192" t="str">
            <v>=  4  buah</v>
          </cell>
        </row>
        <row r="3193">
          <cell r="C3193" t="str">
            <v>- Gerobak Dorong</v>
          </cell>
          <cell r="D3193" t="str">
            <v>=  1  buah</v>
          </cell>
        </row>
        <row r="3195">
          <cell r="A3195" t="str">
            <v>3.</v>
          </cell>
          <cell r="C3195" t="str">
            <v>TENAGA</v>
          </cell>
        </row>
        <row r="3196">
          <cell r="C3196" t="str">
            <v>Produksi Beton dalam 1 hari</v>
          </cell>
          <cell r="E3196" t="str">
            <v>=  Tk x Q1</v>
          </cell>
          <cell r="G3196" t="str">
            <v>Qt</v>
          </cell>
          <cell r="H3196">
            <v>15.845454545454546</v>
          </cell>
          <cell r="I3196" t="str">
            <v>M3</v>
          </cell>
        </row>
        <row r="3198">
          <cell r="C3198" t="str">
            <v>Kebutuhan tenaga :</v>
          </cell>
          <cell r="D3198" t="str">
            <v>- Mandor</v>
          </cell>
          <cell r="G3198" t="str">
            <v>M</v>
          </cell>
          <cell r="H3198">
            <v>1</v>
          </cell>
          <cell r="I3198" t="str">
            <v>orang</v>
          </cell>
        </row>
        <row r="3199">
          <cell r="D3199" t="str">
            <v>- Tukang</v>
          </cell>
          <cell r="G3199" t="str">
            <v>Tb</v>
          </cell>
          <cell r="H3199">
            <v>4</v>
          </cell>
          <cell r="I3199" t="str">
            <v>orang</v>
          </cell>
        </row>
        <row r="3200">
          <cell r="D3200" t="str">
            <v>- Pekerja</v>
          </cell>
          <cell r="G3200" t="str">
            <v>P</v>
          </cell>
          <cell r="H3200">
            <v>12</v>
          </cell>
          <cell r="I3200" t="str">
            <v>orang</v>
          </cell>
        </row>
        <row r="3202">
          <cell r="C3202" t="str">
            <v>Koefisien Tenaga / M3   :</v>
          </cell>
        </row>
        <row r="3203">
          <cell r="D3203" t="str">
            <v>-  Mandor</v>
          </cell>
          <cell r="E3203" t="str">
            <v>= (Tk x M) : Qt</v>
          </cell>
          <cell r="G3203" t="str">
            <v>(L03)</v>
          </cell>
          <cell r="H3203">
            <v>0.44176706827309237</v>
          </cell>
          <cell r="I3203" t="str">
            <v>jam</v>
          </cell>
        </row>
        <row r="3204">
          <cell r="D3204" t="str">
            <v>-  Tukang</v>
          </cell>
          <cell r="E3204" t="str">
            <v>= (Tk x Tb) : Qt</v>
          </cell>
          <cell r="G3204" t="str">
            <v>(L02)</v>
          </cell>
          <cell r="H3204">
            <v>1.7670682730923695</v>
          </cell>
          <cell r="I3204" t="str">
            <v>jam</v>
          </cell>
        </row>
        <row r="3205">
          <cell r="D3205" t="str">
            <v>-  Pekerja</v>
          </cell>
          <cell r="E3205" t="str">
            <v>= (Tk x P) : Qt</v>
          </cell>
          <cell r="G3205" t="str">
            <v>(L01)</v>
          </cell>
          <cell r="H3205">
            <v>5.3012048192771086</v>
          </cell>
          <cell r="I3205" t="str">
            <v>jam</v>
          </cell>
        </row>
        <row r="3208">
          <cell r="A3208" t="str">
            <v>4.</v>
          </cell>
          <cell r="C3208" t="str">
            <v>HARGA DASAR SATUAN UPAH, BAHAN DAN ALAT</v>
          </cell>
        </row>
        <row r="3209">
          <cell r="C3209" t="str">
            <v>Lihat lampiran.</v>
          </cell>
        </row>
        <row r="3218">
          <cell r="J3218" t="str">
            <v>Berlanjut ke hal. berikut.</v>
          </cell>
        </row>
        <row r="3219">
          <cell r="A3219" t="str">
            <v>ITEM PEMBAYARAN NO.</v>
          </cell>
          <cell r="D3219" t="str">
            <v>: 5.5.(2)</v>
          </cell>
          <cell r="J3219" t="str">
            <v>Analisa EI-718</v>
          </cell>
        </row>
        <row r="3220">
          <cell r="A3220" t="str">
            <v>JENIS PEKERJAAN</v>
          </cell>
          <cell r="D3220" t="str">
            <v>: Pekerjaan LFAS Kelas B</v>
          </cell>
        </row>
        <row r="3221">
          <cell r="A3221" t="str">
            <v>SATUAN PEMBAYARAN</v>
          </cell>
          <cell r="D3221" t="str">
            <v>:  M3</v>
          </cell>
          <cell r="H3221" t="str">
            <v xml:space="preserve">        URAIAN ANALISA HARGA SATUAN</v>
          </cell>
        </row>
        <row r="3222">
          <cell r="J3222" t="str">
            <v>Lanjutan</v>
          </cell>
        </row>
        <row r="3224">
          <cell r="A3224" t="str">
            <v>No.</v>
          </cell>
          <cell r="C3224" t="str">
            <v>U R A I A N</v>
          </cell>
          <cell r="G3224" t="str">
            <v>KODE</v>
          </cell>
          <cell r="H3224" t="str">
            <v>KOEF.</v>
          </cell>
          <cell r="I3224" t="str">
            <v>SATUAN</v>
          </cell>
          <cell r="J3224" t="str">
            <v>KETERANGAN</v>
          </cell>
        </row>
        <row r="3227">
          <cell r="A3227" t="str">
            <v>5.</v>
          </cell>
          <cell r="C3227" t="str">
            <v>ANALISA HARGA SATUAN PEKERJAAN</v>
          </cell>
        </row>
        <row r="3228">
          <cell r="C3228" t="str">
            <v>Lihat perhitungan dalam FORMULIR STANDAR UNTUK</v>
          </cell>
        </row>
        <row r="3229">
          <cell r="C3229" t="str">
            <v>PEREKEMAN ANALISA MASING-MASING HARGA</v>
          </cell>
        </row>
        <row r="3230">
          <cell r="C3230" t="str">
            <v>SATUAN.</v>
          </cell>
        </row>
        <row r="3231">
          <cell r="C3231" t="str">
            <v>Didapat Harga Satuan Pekerjaan :</v>
          </cell>
        </row>
        <row r="3233">
          <cell r="C3233" t="str">
            <v xml:space="preserve">Rp.  </v>
          </cell>
          <cell r="D3233">
            <v>313349.42307399388</v>
          </cell>
          <cell r="E3233" t="str">
            <v xml:space="preserve"> / M3</v>
          </cell>
        </row>
        <row r="3236">
          <cell r="A3236" t="str">
            <v>6.</v>
          </cell>
          <cell r="C3236" t="str">
            <v>MASA PELAKSANAAN YANG DIPERLUKAN</v>
          </cell>
        </row>
        <row r="3237">
          <cell r="C3237" t="str">
            <v>Masa Pelaksanaan :</v>
          </cell>
          <cell r="D3237" t="str">
            <v>. . . . . . . . . . . .</v>
          </cell>
        </row>
        <row r="3239">
          <cell r="A3239" t="str">
            <v>7.</v>
          </cell>
          <cell r="C3239" t="str">
            <v>VOLUME PEKERJAAN YANG DIPERLUKAN</v>
          </cell>
        </row>
        <row r="3240">
          <cell r="C3240" t="str">
            <v>Volume pekerjaan  :</v>
          </cell>
          <cell r="D3240">
            <v>1</v>
          </cell>
          <cell r="E3240" t="str">
            <v>M3</v>
          </cell>
        </row>
        <row r="3281">
          <cell r="A3281" t="str">
            <v>ITEM PEMBAYARAN NO.</v>
          </cell>
          <cell r="D3281" t="str">
            <v>: 5.5.(3)</v>
          </cell>
          <cell r="J3281" t="str">
            <v>Analisa EI-718</v>
          </cell>
          <cell r="T3281" t="str">
            <v>Analisa EI-718</v>
          </cell>
        </row>
        <row r="3282">
          <cell r="A3282" t="str">
            <v>JENIS PEKERJAAN</v>
          </cell>
          <cell r="D3282" t="str">
            <v>: Pekerjaan LPAS Kelas C</v>
          </cell>
        </row>
        <row r="3283">
          <cell r="A3283" t="str">
            <v>SATUAN PEMBAYARAN</v>
          </cell>
          <cell r="D3283" t="str">
            <v>:  M3</v>
          </cell>
          <cell r="H3283" t="str">
            <v xml:space="preserve">        URAIAN ANALISA HARGA SATUAN</v>
          </cell>
          <cell r="L3283" t="str">
            <v>FORMULIR STANDAR UNTUK</v>
          </cell>
        </row>
        <row r="3284">
          <cell r="L3284" t="str">
            <v>PEREKAMAN ANALISA MASING-MASING HARGA SATUAN</v>
          </cell>
        </row>
        <row r="3285">
          <cell r="L3285" t="str">
            <v xml:space="preserve">                                                                                                            </v>
          </cell>
        </row>
        <row r="3286">
          <cell r="A3286" t="str">
            <v>No.</v>
          </cell>
          <cell r="C3286" t="str">
            <v>U R A I A N</v>
          </cell>
          <cell r="G3286" t="str">
            <v>KODE</v>
          </cell>
          <cell r="H3286" t="str">
            <v>KOEF.</v>
          </cell>
          <cell r="I3286" t="str">
            <v>SATUAN</v>
          </cell>
          <cell r="J3286" t="str">
            <v>KETERANGAN</v>
          </cell>
        </row>
        <row r="3288">
          <cell r="L3288" t="str">
            <v>PROYEK</v>
          </cell>
          <cell r="O3288" t="str">
            <v>:</v>
          </cell>
        </row>
        <row r="3289">
          <cell r="A3289" t="str">
            <v>I.</v>
          </cell>
          <cell r="C3289" t="str">
            <v>ASUMSI</v>
          </cell>
          <cell r="L3289" t="str">
            <v>No. PAKET KONTRAK</v>
          </cell>
          <cell r="O3289" t="str">
            <v>:</v>
          </cell>
        </row>
        <row r="3290">
          <cell r="A3290">
            <v>1</v>
          </cell>
          <cell r="C3290" t="str">
            <v>Menggunakan alat (cara mekanik)</v>
          </cell>
          <cell r="L3290" t="str">
            <v>NAMA PAKET</v>
          </cell>
          <cell r="O3290" t="str">
            <v>:</v>
          </cell>
        </row>
        <row r="3291">
          <cell r="A3291">
            <v>2</v>
          </cell>
          <cell r="C3291" t="str">
            <v>Lokasi pekerjaan : sepanjang jalan</v>
          </cell>
          <cell r="L3291" t="str">
            <v>PROP / KAB / KODYA</v>
          </cell>
          <cell r="O3291" t="str">
            <v>:</v>
          </cell>
        </row>
        <row r="3292">
          <cell r="A3292">
            <v>3</v>
          </cell>
          <cell r="C3292" t="str">
            <v>Agregat merupakan bahan Lapis Pondasi Agregat</v>
          </cell>
          <cell r="L3292" t="str">
            <v>ITEM PEMBAYARAN NO.</v>
          </cell>
          <cell r="O3292" t="str">
            <v>: 5.5.(3)</v>
          </cell>
          <cell r="R3292" t="str">
            <v>PERKIRAAN VOL. PEK.</v>
          </cell>
          <cell r="T3292" t="str">
            <v>:</v>
          </cell>
          <cell r="U3292">
            <v>1</v>
          </cell>
        </row>
        <row r="3293">
          <cell r="C3293" t="str">
            <v>Kelas C yang telah dicampur di base camp dan</v>
          </cell>
          <cell r="L3293" t="str">
            <v>JENIS PEKERJAAN</v>
          </cell>
          <cell r="O3293" t="str">
            <v>: Pekerjaan LPAS Kelas C</v>
          </cell>
          <cell r="R3293" t="str">
            <v>TOTAL HARGA (Rp.)</v>
          </cell>
          <cell r="T3293" t="str">
            <v>:</v>
          </cell>
          <cell r="U3293">
            <v>31522.779454667012</v>
          </cell>
        </row>
        <row r="3294">
          <cell r="C3294" t="str">
            <v>selanjutnya dimuat ke truck dengan wheel loader</v>
          </cell>
        </row>
        <row r="3295">
          <cell r="A3295">
            <v>4</v>
          </cell>
          <cell r="C3295" t="str">
            <v>Jarak rata-rata Base camp ke lokasi pekerjaan</v>
          </cell>
          <cell r="G3295" t="str">
            <v>L</v>
          </cell>
          <cell r="H3295">
            <v>0</v>
          </cell>
          <cell r="I3295" t="str">
            <v>KM</v>
          </cell>
          <cell r="L3295" t="str">
            <v>SATUAN PEMBAYARAN</v>
          </cell>
          <cell r="O3295" t="str">
            <v>:  M3</v>
          </cell>
          <cell r="R3295" t="str">
            <v>% THD. BIAYA PROYEK</v>
          </cell>
          <cell r="T3295" t="str">
            <v>:</v>
          </cell>
          <cell r="U3295" t="e">
            <v>#DIV/0!</v>
          </cell>
        </row>
        <row r="3296">
          <cell r="A3296">
            <v>5</v>
          </cell>
          <cell r="C3296" t="str">
            <v>Jam kerja efektif per-hari</v>
          </cell>
          <cell r="G3296" t="str">
            <v>Tk</v>
          </cell>
          <cell r="H3296">
            <v>7</v>
          </cell>
          <cell r="I3296" t="str">
            <v>jam</v>
          </cell>
        </row>
        <row r="3297">
          <cell r="A3297">
            <v>6</v>
          </cell>
          <cell r="C3297" t="str">
            <v>Kadar Semen Minimum (Spesifikasi)</v>
          </cell>
          <cell r="G3297" t="str">
            <v>Ks</v>
          </cell>
          <cell r="H3297">
            <v>250</v>
          </cell>
          <cell r="I3297" t="str">
            <v>Kg/M3</v>
          </cell>
        </row>
        <row r="3298">
          <cell r="A3298">
            <v>7</v>
          </cell>
          <cell r="C3298" t="str">
            <v>Perbandingan Air/Semen Maksimum (Spesifikasi)</v>
          </cell>
          <cell r="G3298" t="str">
            <v>Wcr</v>
          </cell>
          <cell r="H3298">
            <v>0.6</v>
          </cell>
          <cell r="I3298" t="str">
            <v>-</v>
          </cell>
          <cell r="L3298" t="str">
            <v>NO.</v>
          </cell>
          <cell r="N3298" t="str">
            <v>KOMPONEN</v>
          </cell>
          <cell r="P3298" t="str">
            <v>SATUAN</v>
          </cell>
          <cell r="Q3298" t="str">
            <v>KUANTITAS</v>
          </cell>
          <cell r="R3298" t="str">
            <v>SATUAN</v>
          </cell>
          <cell r="S3298" t="str">
            <v>HARGA</v>
          </cell>
        </row>
        <row r="3299">
          <cell r="A3299">
            <v>8</v>
          </cell>
          <cell r="C3299" t="str">
            <v>Perbandingan Camp.</v>
          </cell>
          <cell r="D3299">
            <v>12</v>
          </cell>
          <cell r="E3299" t="str">
            <v>:  Semen</v>
          </cell>
          <cell r="G3299" t="str">
            <v>Sm</v>
          </cell>
          <cell r="H3299">
            <v>12</v>
          </cell>
          <cell r="I3299" t="str">
            <v>%</v>
          </cell>
          <cell r="J3299" t="str">
            <v xml:space="preserve"> Berdasarkan</v>
          </cell>
          <cell r="R3299" t="str">
            <v>(Rp.)</v>
          </cell>
          <cell r="S3299" t="str">
            <v>(Rp.)</v>
          </cell>
        </row>
        <row r="3300">
          <cell r="D3300">
            <v>47</v>
          </cell>
          <cell r="E3300" t="str">
            <v>:  Agregat Halus</v>
          </cell>
          <cell r="G3300" t="str">
            <v>Fa</v>
          </cell>
          <cell r="H3300">
            <v>41.4</v>
          </cell>
          <cell r="I3300" t="str">
            <v>%</v>
          </cell>
          <cell r="J3300" t="str">
            <v xml:space="preserve"> JMF &amp; sesuai</v>
          </cell>
        </row>
        <row r="3301">
          <cell r="D3301">
            <v>38</v>
          </cell>
          <cell r="E3301" t="str">
            <v>:  Agregat Kasar</v>
          </cell>
          <cell r="G3301" t="str">
            <v>Ca</v>
          </cell>
          <cell r="H3301">
            <v>33.4</v>
          </cell>
          <cell r="I3301" t="str">
            <v>%</v>
          </cell>
          <cell r="J3301" t="str">
            <v xml:space="preserve"> </v>
          </cell>
        </row>
        <row r="3302">
          <cell r="D3302">
            <v>15</v>
          </cell>
          <cell r="E3302" t="str">
            <v>: Tanah</v>
          </cell>
          <cell r="G3302" t="str">
            <v>Tnh</v>
          </cell>
          <cell r="H3302">
            <v>13.2</v>
          </cell>
          <cell r="I3302" t="str">
            <v>%</v>
          </cell>
        </row>
        <row r="3303">
          <cell r="A3303">
            <v>9</v>
          </cell>
          <cell r="C3303" t="str">
            <v>Berat Jenis Material :</v>
          </cell>
          <cell r="L3303" t="str">
            <v>A.</v>
          </cell>
          <cell r="N3303" t="str">
            <v>TENAGA</v>
          </cell>
        </row>
        <row r="3304">
          <cell r="C3304" t="str">
            <v>-  Beton</v>
          </cell>
          <cell r="G3304" t="str">
            <v>D1</v>
          </cell>
          <cell r="H3304">
            <v>2.25</v>
          </cell>
          <cell r="I3304" t="str">
            <v>T/M3</v>
          </cell>
        </row>
        <row r="3305">
          <cell r="C3305" t="str">
            <v>-  Semen</v>
          </cell>
          <cell r="G3305" t="str">
            <v>D2</v>
          </cell>
          <cell r="H3305">
            <v>3</v>
          </cell>
          <cell r="I3305" t="str">
            <v>T/M3</v>
          </cell>
          <cell r="L3305" t="str">
            <v>1.</v>
          </cell>
          <cell r="N3305" t="str">
            <v>Pekerja</v>
          </cell>
          <cell r="O3305" t="str">
            <v>(L01)</v>
          </cell>
          <cell r="P3305" t="str">
            <v>jam</v>
          </cell>
          <cell r="Q3305">
            <v>5.3012048192771086</v>
          </cell>
          <cell r="R3305">
            <v>2857.14</v>
          </cell>
          <cell r="U3305">
            <v>15146.284337349398</v>
          </cell>
        </row>
        <row r="3306">
          <cell r="C3306" t="str">
            <v>-  Agregat Kelas C</v>
          </cell>
          <cell r="G3306" t="str">
            <v>D3</v>
          </cell>
          <cell r="H3306">
            <v>1.9</v>
          </cell>
          <cell r="I3306" t="str">
            <v>T/M3</v>
          </cell>
          <cell r="L3306" t="str">
            <v>2.</v>
          </cell>
          <cell r="N3306" t="str">
            <v>Tukang</v>
          </cell>
          <cell r="O3306" t="str">
            <v>(L02)</v>
          </cell>
          <cell r="P3306" t="str">
            <v>jam</v>
          </cell>
          <cell r="Q3306">
            <v>1.7670682730923695</v>
          </cell>
          <cell r="R3306">
            <v>4285.71</v>
          </cell>
          <cell r="U3306">
            <v>7573.142168674699</v>
          </cell>
        </row>
        <row r="3307">
          <cell r="C3307" t="str">
            <v xml:space="preserve"> </v>
          </cell>
          <cell r="G3307" t="str">
            <v xml:space="preserve"> </v>
          </cell>
          <cell r="H3307" t="str">
            <v xml:space="preserve"> </v>
          </cell>
          <cell r="I3307" t="str">
            <v xml:space="preserve"> </v>
          </cell>
          <cell r="L3307" t="str">
            <v>3.</v>
          </cell>
          <cell r="N3307" t="str">
            <v>Mandor</v>
          </cell>
          <cell r="O3307" t="str">
            <v>(L03)</v>
          </cell>
          <cell r="P3307" t="str">
            <v>jam</v>
          </cell>
          <cell r="Q3307">
            <v>0.44176706827309237</v>
          </cell>
          <cell r="R3307">
            <v>3214.29</v>
          </cell>
          <cell r="U3307">
            <v>1419.9674698795181</v>
          </cell>
        </row>
        <row r="3308">
          <cell r="C3308" t="str">
            <v/>
          </cell>
        </row>
        <row r="3309">
          <cell r="A3309" t="str">
            <v>II.</v>
          </cell>
          <cell r="C3309" t="str">
            <v>URUTAN KERJA</v>
          </cell>
          <cell r="Q3309" t="str">
            <v xml:space="preserve">JUMLAH HARGA TENAGA   </v>
          </cell>
          <cell r="U3309">
            <v>24139.393975903615</v>
          </cell>
        </row>
        <row r="3310">
          <cell r="A3310">
            <v>1</v>
          </cell>
          <cell r="C3310" t="str">
            <v>Semen, pasir, batu kerikil dan air dicampur dan diaduk</v>
          </cell>
        </row>
        <row r="3311">
          <cell r="C3311" t="str">
            <v>menjadi beton dengan menggunakan Concrete Mixer</v>
          </cell>
          <cell r="L3311" t="str">
            <v>B.</v>
          </cell>
          <cell r="N3311" t="str">
            <v>BAHAN</v>
          </cell>
        </row>
        <row r="3312">
          <cell r="A3312">
            <v>2</v>
          </cell>
          <cell r="C3312" t="str">
            <v>Beton di-cor ke dalam bekisting yang telah disiapkan</v>
          </cell>
        </row>
        <row r="3313">
          <cell r="A3313">
            <v>3</v>
          </cell>
          <cell r="C3313" t="str">
            <v>Penyelesaian dan perapihan setelah pemasangan</v>
          </cell>
          <cell r="L3313" t="str">
            <v>1.</v>
          </cell>
          <cell r="N3313" t="str">
            <v>Semen</v>
          </cell>
          <cell r="O3313" t="str">
            <v>(M12)</v>
          </cell>
          <cell r="P3313" t="str">
            <v>Kg</v>
          </cell>
          <cell r="Q3313">
            <v>276.75</v>
          </cell>
          <cell r="R3313">
            <v>1357.5</v>
          </cell>
          <cell r="U3313">
            <v>375688.125</v>
          </cell>
        </row>
        <row r="3314">
          <cell r="L3314" t="str">
            <v>2.</v>
          </cell>
          <cell r="N3314" t="str">
            <v>Aggregat Klas C</v>
          </cell>
          <cell r="O3314" t="str">
            <v>(M01)</v>
          </cell>
          <cell r="P3314" t="str">
            <v>M3</v>
          </cell>
          <cell r="Q3314">
            <v>0.50251973684210527</v>
          </cell>
          <cell r="R3314">
            <v>141787.08464737452</v>
          </cell>
          <cell r="U3314">
            <v>71250.808464607951</v>
          </cell>
        </row>
        <row r="3315">
          <cell r="A3315" t="str">
            <v>III.</v>
          </cell>
          <cell r="C3315" t="str">
            <v>PEMAKAIAN BAHAN, ALAT DAN TENAGA</v>
          </cell>
        </row>
        <row r="3317">
          <cell r="A3317" t="str">
            <v xml:space="preserve">   1.</v>
          </cell>
          <cell r="C3317" t="str">
            <v>BAHAN</v>
          </cell>
        </row>
        <row r="3318">
          <cell r="A3318" t="str">
            <v>1.a.</v>
          </cell>
          <cell r="C3318" t="str">
            <v>Semen (PC)          =</v>
          </cell>
          <cell r="D3318" t="str">
            <v xml:space="preserve">   {Sm x D1 x 1000} x 1.025</v>
          </cell>
          <cell r="G3318" t="str">
            <v>(M12)</v>
          </cell>
          <cell r="H3318">
            <v>276.75</v>
          </cell>
          <cell r="I3318" t="str">
            <v>Kg</v>
          </cell>
        </row>
        <row r="3319">
          <cell r="A3319" t="str">
            <v>1.b.</v>
          </cell>
          <cell r="C3319" t="str">
            <v>Agregat Kelas C</v>
          </cell>
          <cell r="D3319" t="str">
            <v xml:space="preserve">   {(Ps x D1) : D3} x 1.025</v>
          </cell>
          <cell r="G3319" t="str">
            <v>(M01)</v>
          </cell>
          <cell r="H3319">
            <v>0.50251973684210527</v>
          </cell>
          <cell r="I3319" t="str">
            <v>M3</v>
          </cell>
        </row>
        <row r="3320">
          <cell r="A3320" t="str">
            <v>1.c.</v>
          </cell>
          <cell r="C3320" t="str">
            <v xml:space="preserve"> </v>
          </cell>
          <cell r="D3320" t="str">
            <v xml:space="preserve"> </v>
          </cell>
          <cell r="G3320" t="str">
            <v xml:space="preserve"> </v>
          </cell>
          <cell r="H3320" t="str">
            <v xml:space="preserve"> </v>
          </cell>
          <cell r="I3320" t="str">
            <v xml:space="preserve"> </v>
          </cell>
          <cell r="J3320" t="str">
            <v xml:space="preserve"> </v>
          </cell>
        </row>
        <row r="3321">
          <cell r="A3321" t="str">
            <v>1.e.</v>
          </cell>
          <cell r="C3321" t="str">
            <v>Bekisting</v>
          </cell>
          <cell r="G3321" t="str">
            <v>(M19)</v>
          </cell>
          <cell r="H3321">
            <v>0.05</v>
          </cell>
          <cell r="I3321" t="str">
            <v>M3</v>
          </cell>
        </row>
        <row r="3322">
          <cell r="A3322" t="str">
            <v>1.f</v>
          </cell>
          <cell r="C3322" t="str">
            <v>Paku</v>
          </cell>
          <cell r="G3322" t="str">
            <v>(M18)</v>
          </cell>
          <cell r="H3322">
            <v>0.4</v>
          </cell>
          <cell r="I3322" t="str">
            <v>Kg</v>
          </cell>
        </row>
        <row r="3324">
          <cell r="A3324" t="str">
            <v>2.</v>
          </cell>
          <cell r="C3324" t="str">
            <v>ALAT</v>
          </cell>
        </row>
        <row r="3325">
          <cell r="A3325" t="str">
            <v>2.a.</v>
          </cell>
          <cell r="C3325" t="str">
            <v>CONCRETE MIXER</v>
          </cell>
          <cell r="G3325" t="str">
            <v>(E06)</v>
          </cell>
        </row>
        <row r="3326">
          <cell r="C3326" t="str">
            <v>Kapasitas Alat</v>
          </cell>
          <cell r="G3326" t="str">
            <v>V</v>
          </cell>
          <cell r="H3326">
            <v>500</v>
          </cell>
          <cell r="I3326" t="str">
            <v>liter</v>
          </cell>
        </row>
        <row r="3327">
          <cell r="C3327" t="str">
            <v>Faktor Efisiensi Alat</v>
          </cell>
          <cell r="G3327" t="str">
            <v>Fa</v>
          </cell>
          <cell r="H3327">
            <v>0.83</v>
          </cell>
          <cell r="I3327" t="str">
            <v>-</v>
          </cell>
        </row>
        <row r="3328">
          <cell r="C3328" t="str">
            <v>Waktu siklus   :</v>
          </cell>
          <cell r="D3328" t="str">
            <v>(T1 + T2 + T3 + T4)</v>
          </cell>
          <cell r="G3328" t="str">
            <v>Ts</v>
          </cell>
        </row>
        <row r="3329">
          <cell r="C3329" t="str">
            <v>-  Memuat</v>
          </cell>
          <cell r="G3329" t="str">
            <v>T1</v>
          </cell>
          <cell r="H3329">
            <v>3</v>
          </cell>
          <cell r="I3329" t="str">
            <v>menit</v>
          </cell>
        </row>
        <row r="3330">
          <cell r="C3330" t="str">
            <v>-  Mengaduk</v>
          </cell>
          <cell r="G3330" t="str">
            <v>T2</v>
          </cell>
          <cell r="H3330">
            <v>2</v>
          </cell>
          <cell r="I3330" t="str">
            <v>menit</v>
          </cell>
        </row>
        <row r="3331">
          <cell r="C3331" t="str">
            <v>-  Menuang</v>
          </cell>
          <cell r="G3331" t="str">
            <v>T3</v>
          </cell>
          <cell r="H3331">
            <v>3</v>
          </cell>
          <cell r="I3331" t="str">
            <v>menit</v>
          </cell>
        </row>
        <row r="3332">
          <cell r="C3332" t="str">
            <v>-  Tunggu, dll.</v>
          </cell>
          <cell r="G3332" t="str">
            <v>T4</v>
          </cell>
          <cell r="H3332">
            <v>3</v>
          </cell>
          <cell r="I3332" t="str">
            <v>menit</v>
          </cell>
        </row>
        <row r="3333">
          <cell r="G3333" t="str">
            <v>Ts</v>
          </cell>
          <cell r="H3333">
            <v>11</v>
          </cell>
          <cell r="I3333" t="str">
            <v>menit</v>
          </cell>
        </row>
        <row r="3335">
          <cell r="C3335" t="str">
            <v>Kap. Prod. / jam  =</v>
          </cell>
          <cell r="D3335" t="str">
            <v>V x Fa x 60</v>
          </cell>
          <cell r="G3335" t="str">
            <v>Q1</v>
          </cell>
          <cell r="H3335">
            <v>2.2636363636363637</v>
          </cell>
          <cell r="I3335" t="str">
            <v>M3</v>
          </cell>
        </row>
        <row r="3336">
          <cell r="D3336" t="str">
            <v>1000 x Ts</v>
          </cell>
        </row>
        <row r="3338">
          <cell r="C3338" t="str">
            <v>Koefisien Alat / M3</v>
          </cell>
          <cell r="D3338" t="str">
            <v xml:space="preserve">  =   1  :  Q1</v>
          </cell>
          <cell r="G3338" t="str">
            <v>(E06)</v>
          </cell>
          <cell r="H3338">
            <v>0.44176706827309237</v>
          </cell>
          <cell r="I3338" t="str">
            <v>jam</v>
          </cell>
        </row>
        <row r="3342">
          <cell r="J3342" t="str">
            <v>Berlanjut ke hal. berikut.</v>
          </cell>
        </row>
        <row r="3343">
          <cell r="A3343" t="str">
            <v>ITEM PEMBAYARAN NO.</v>
          </cell>
          <cell r="D3343" t="str">
            <v>: 5.5.(3)</v>
          </cell>
          <cell r="J3343" t="str">
            <v>Analisa EI-718</v>
          </cell>
        </row>
        <row r="3344">
          <cell r="A3344" t="str">
            <v>JENIS PEKERJAAN</v>
          </cell>
          <cell r="D3344" t="str">
            <v>: Pekerjaan LPAS Kelas C</v>
          </cell>
        </row>
        <row r="3345">
          <cell r="A3345" t="str">
            <v>SATUAN PEMBAYARAN</v>
          </cell>
          <cell r="D3345" t="str">
            <v>:  M3</v>
          </cell>
          <cell r="H3345" t="str">
            <v xml:space="preserve">        URAIAN ANALISA HARGA SATUAN</v>
          </cell>
        </row>
        <row r="3346">
          <cell r="J3346" t="str">
            <v>Lanjutan</v>
          </cell>
        </row>
        <row r="3348">
          <cell r="A3348" t="str">
            <v>No.</v>
          </cell>
          <cell r="C3348" t="str">
            <v>U R A I A N</v>
          </cell>
          <cell r="G3348" t="str">
            <v>KODE</v>
          </cell>
          <cell r="H3348" t="str">
            <v>KOEF.</v>
          </cell>
          <cell r="I3348" t="str">
            <v>SATUAN</v>
          </cell>
          <cell r="J3348" t="str">
            <v>KETERANGAN</v>
          </cell>
        </row>
        <row r="3351">
          <cell r="A3351" t="str">
            <v>2.b.</v>
          </cell>
          <cell r="C3351" t="str">
            <v>WATER TANK TRUCK</v>
          </cell>
          <cell r="G3351" t="str">
            <v>(E23)</v>
          </cell>
        </row>
        <row r="3352">
          <cell r="C3352" t="str">
            <v>Volume Tanki Air</v>
          </cell>
          <cell r="G3352" t="str">
            <v>V</v>
          </cell>
          <cell r="H3352">
            <v>4</v>
          </cell>
          <cell r="I3352" t="str">
            <v>M3</v>
          </cell>
        </row>
        <row r="3353">
          <cell r="C3353" t="str">
            <v>Kebutuhan air / M3 beton</v>
          </cell>
          <cell r="G3353" t="str">
            <v>Wc</v>
          </cell>
          <cell r="H3353">
            <v>0.16604999999999998</v>
          </cell>
          <cell r="I3353" t="str">
            <v>M3</v>
          </cell>
        </row>
        <row r="3354">
          <cell r="C3354" t="str">
            <v>Faktor Efiesiensi Alat</v>
          </cell>
          <cell r="G3354" t="str">
            <v>Fa</v>
          </cell>
          <cell r="H3354">
            <v>0.83</v>
          </cell>
          <cell r="I3354" t="str">
            <v>-</v>
          </cell>
        </row>
        <row r="3355">
          <cell r="C3355" t="str">
            <v>Pengisian Tanki / jam</v>
          </cell>
          <cell r="G3355" t="str">
            <v>n</v>
          </cell>
          <cell r="H3355">
            <v>1</v>
          </cell>
          <cell r="I3355" t="str">
            <v>kali</v>
          </cell>
        </row>
        <row r="3357">
          <cell r="C3357" t="str">
            <v>Kap. Prod. / jam  =</v>
          </cell>
          <cell r="D3357" t="str">
            <v>V x Fa x n</v>
          </cell>
          <cell r="G3357" t="str">
            <v>Q2</v>
          </cell>
          <cell r="H3357">
            <v>19.993977717554955</v>
          </cell>
          <cell r="I3357" t="str">
            <v>M3</v>
          </cell>
        </row>
        <row r="3358">
          <cell r="D3358" t="str">
            <v>Wc</v>
          </cell>
        </row>
        <row r="3360">
          <cell r="C3360" t="str">
            <v>Koefisien Alat / M3</v>
          </cell>
          <cell r="D3360" t="str">
            <v xml:space="preserve">  =   1  :  Q2</v>
          </cell>
          <cell r="G3360" t="str">
            <v>(E23)</v>
          </cell>
          <cell r="H3360">
            <v>5.0015060240963853E-2</v>
          </cell>
          <cell r="I3360" t="str">
            <v>jam</v>
          </cell>
        </row>
        <row r="3362">
          <cell r="A3362" t="str">
            <v>2.c.</v>
          </cell>
          <cell r="C3362" t="str">
            <v>CONCRETE VIBRATOR</v>
          </cell>
          <cell r="G3362" t="str">
            <v>(E20)</v>
          </cell>
        </row>
        <row r="3363">
          <cell r="C3363" t="str">
            <v>Kebutuhan Alat Penggetar Beton ini disesuaikan dengan</v>
          </cell>
        </row>
        <row r="3364">
          <cell r="C3364" t="str">
            <v>kapasitas produksi Alat Pencampur (Concrete Mixer)</v>
          </cell>
        </row>
        <row r="3366">
          <cell r="C3366" t="str">
            <v>Kap. Prod. / jam  =</v>
          </cell>
          <cell r="D3366" t="str">
            <v>Kap.Prod./Jam Alat Concrete Mixer</v>
          </cell>
          <cell r="G3366" t="str">
            <v>Q3</v>
          </cell>
          <cell r="H3366">
            <v>2.2636363636363637</v>
          </cell>
          <cell r="I3366" t="str">
            <v>M3</v>
          </cell>
        </row>
        <row r="3368">
          <cell r="C3368" t="str">
            <v>Koefisien Alat / M3</v>
          </cell>
          <cell r="D3368" t="str">
            <v xml:space="preserve">  =   1  :  Q3</v>
          </cell>
          <cell r="G3368" t="str">
            <v>(E20)</v>
          </cell>
          <cell r="H3368">
            <v>0.44176706827309237</v>
          </cell>
          <cell r="I3368" t="str">
            <v>jam</v>
          </cell>
        </row>
        <row r="3370">
          <cell r="A3370" t="str">
            <v>2.c.</v>
          </cell>
          <cell r="C3370" t="str">
            <v>ALAT BANTU</v>
          </cell>
        </row>
        <row r="3371">
          <cell r="C3371" t="str">
            <v>Diperlukan  :</v>
          </cell>
        </row>
        <row r="3372">
          <cell r="C3372" t="str">
            <v>- Sekop</v>
          </cell>
          <cell r="D3372" t="str">
            <v>=  2  buah</v>
          </cell>
        </row>
        <row r="3373">
          <cell r="C3373" t="str">
            <v>- Pacul</v>
          </cell>
          <cell r="D3373" t="str">
            <v>=  2  buah</v>
          </cell>
        </row>
        <row r="3374">
          <cell r="C3374" t="str">
            <v>- Sendok Semen</v>
          </cell>
          <cell r="D3374" t="str">
            <v>=  2  buah</v>
          </cell>
        </row>
        <row r="3375">
          <cell r="C3375" t="str">
            <v>- Ember Cor</v>
          </cell>
          <cell r="D3375" t="str">
            <v>=  4  buah</v>
          </cell>
        </row>
        <row r="3376">
          <cell r="C3376" t="str">
            <v>- Gerobak Dorong</v>
          </cell>
          <cell r="D3376" t="str">
            <v>=  1  buah</v>
          </cell>
        </row>
        <row r="3378">
          <cell r="A3378" t="str">
            <v>3.</v>
          </cell>
          <cell r="C3378" t="str">
            <v>TENAGA</v>
          </cell>
        </row>
        <row r="3379">
          <cell r="C3379" t="str">
            <v>Produksi Beton dalam 1 hari</v>
          </cell>
          <cell r="E3379" t="str">
            <v>=  Tk x Q1</v>
          </cell>
          <cell r="G3379" t="str">
            <v>Qt</v>
          </cell>
          <cell r="H3379">
            <v>15.845454545454546</v>
          </cell>
          <cell r="I3379" t="str">
            <v>M3</v>
          </cell>
        </row>
        <row r="3381">
          <cell r="C3381" t="str">
            <v>Kebutuhan tenaga :</v>
          </cell>
          <cell r="D3381" t="str">
            <v>- Mandor</v>
          </cell>
          <cell r="G3381" t="str">
            <v>M</v>
          </cell>
          <cell r="H3381">
            <v>1</v>
          </cell>
          <cell r="I3381" t="str">
            <v>orang</v>
          </cell>
        </row>
        <row r="3382">
          <cell r="D3382" t="str">
            <v>- Tukang</v>
          </cell>
          <cell r="G3382" t="str">
            <v>Tb</v>
          </cell>
          <cell r="H3382">
            <v>4</v>
          </cell>
          <cell r="I3382" t="str">
            <v>orang</v>
          </cell>
        </row>
        <row r="3383">
          <cell r="D3383" t="str">
            <v>- Pekerja</v>
          </cell>
          <cell r="G3383" t="str">
            <v>P</v>
          </cell>
          <cell r="H3383">
            <v>12</v>
          </cell>
          <cell r="I3383" t="str">
            <v>orang</v>
          </cell>
        </row>
        <row r="3385">
          <cell r="C3385" t="str">
            <v>Koefisien Tenaga / M3   :</v>
          </cell>
        </row>
        <row r="3386">
          <cell r="D3386" t="str">
            <v>-  Mandor</v>
          </cell>
          <cell r="E3386" t="str">
            <v>= (Tk x M) : Qt</v>
          </cell>
          <cell r="G3386" t="str">
            <v>(L03)</v>
          </cell>
          <cell r="H3386">
            <v>0.44176706827309237</v>
          </cell>
          <cell r="I3386" t="str">
            <v>jam</v>
          </cell>
        </row>
        <row r="3387">
          <cell r="D3387" t="str">
            <v>-  Tukang</v>
          </cell>
          <cell r="E3387" t="str">
            <v>= (Tk x Tb) : Qt</v>
          </cell>
          <cell r="G3387" t="str">
            <v>(L02)</v>
          </cell>
          <cell r="H3387">
            <v>1.7670682730923695</v>
          </cell>
          <cell r="I3387" t="str">
            <v>jam</v>
          </cell>
        </row>
        <row r="3388">
          <cell r="D3388" t="str">
            <v>-  Pekerja</v>
          </cell>
          <cell r="E3388" t="str">
            <v>= (Tk x P) : Qt</v>
          </cell>
          <cell r="G3388" t="str">
            <v>(L01)</v>
          </cell>
          <cell r="H3388">
            <v>5.3012048192771086</v>
          </cell>
          <cell r="I3388" t="str">
            <v>jam</v>
          </cell>
        </row>
        <row r="3391">
          <cell r="A3391" t="str">
            <v>4.</v>
          </cell>
          <cell r="C3391" t="str">
            <v>HARGA DASAR SATUAN UPAH, BAHAN DAN ALAT</v>
          </cell>
        </row>
        <row r="3392">
          <cell r="C3392" t="str">
            <v>Lihat lampiran.</v>
          </cell>
        </row>
        <row r="3401">
          <cell r="J3401" t="str">
            <v>Berlanjut ke hal. berikut.</v>
          </cell>
        </row>
        <row r="3402">
          <cell r="A3402" t="str">
            <v>ITEM PEMBAYARAN NO.</v>
          </cell>
          <cell r="D3402" t="str">
            <v>: 5.5.(3)</v>
          </cell>
          <cell r="J3402" t="str">
            <v>Analisa EI-718</v>
          </cell>
        </row>
        <row r="3403">
          <cell r="A3403" t="str">
            <v>JENIS PEKERJAAN</v>
          </cell>
          <cell r="D3403" t="str">
            <v>: Pekerjaan LPAS Kelas C</v>
          </cell>
        </row>
        <row r="3404">
          <cell r="A3404" t="str">
            <v>SATUAN PEMBAYARAN</v>
          </cell>
          <cell r="D3404" t="str">
            <v>:  M3</v>
          </cell>
          <cell r="H3404" t="str">
            <v xml:space="preserve">        URAIAN ANALISA HARGA SATUAN</v>
          </cell>
        </row>
        <row r="3405">
          <cell r="J3405" t="str">
            <v>Lanjutan</v>
          </cell>
        </row>
        <row r="3407">
          <cell r="A3407" t="str">
            <v>No.</v>
          </cell>
          <cell r="C3407" t="str">
            <v>U R A I A N</v>
          </cell>
          <cell r="G3407" t="str">
            <v>KODE</v>
          </cell>
          <cell r="H3407" t="str">
            <v>KOEF.</v>
          </cell>
          <cell r="I3407" t="str">
            <v>SATUAN</v>
          </cell>
          <cell r="J3407" t="str">
            <v>KETERANGAN</v>
          </cell>
        </row>
        <row r="3410">
          <cell r="A3410" t="str">
            <v>5.</v>
          </cell>
          <cell r="C3410" t="str">
            <v>ANALISA HARGA SATUAN PEKERJAAN</v>
          </cell>
        </row>
        <row r="3411">
          <cell r="C3411" t="str">
            <v>Lihat perhitungan dalam FORMULIR STANDAR UNTUK</v>
          </cell>
        </row>
        <row r="3412">
          <cell r="C3412" t="str">
            <v>PEREKEMAN ANALISA MASING-MASING HARGA</v>
          </cell>
        </row>
        <row r="3413">
          <cell r="C3413" t="str">
            <v>SATUAN.</v>
          </cell>
        </row>
        <row r="3414">
          <cell r="C3414" t="str">
            <v>Didapat Harga Satuan Pekerjaan :</v>
          </cell>
        </row>
        <row r="3416">
          <cell r="C3416" t="str">
            <v xml:space="preserve">Rp.  </v>
          </cell>
          <cell r="D3416">
            <v>634714.46174467704</v>
          </cell>
          <cell r="E3416" t="str">
            <v xml:space="preserve"> / M3</v>
          </cell>
        </row>
        <row r="3419">
          <cell r="A3419" t="str">
            <v>6.</v>
          </cell>
          <cell r="C3419" t="str">
            <v>MASA PELAKSANAAN YANG DIPERLUKAN</v>
          </cell>
        </row>
        <row r="3420">
          <cell r="C3420" t="str">
            <v>Masa Pelaksanaan :</v>
          </cell>
          <cell r="D3420" t="str">
            <v>. . . . . . . . . . . .</v>
          </cell>
        </row>
        <row r="3422">
          <cell r="A3422" t="str">
            <v>7.</v>
          </cell>
          <cell r="C3422" t="str">
            <v>VOLUME PEKERJAAN YANG DIPERLUKAN</v>
          </cell>
        </row>
        <row r="3423">
          <cell r="C3423" t="str">
            <v>Volume pekerjaan  :</v>
          </cell>
          <cell r="D3423">
            <v>1</v>
          </cell>
          <cell r="E3423" t="str">
            <v>M3</v>
          </cell>
        </row>
        <row r="3463">
          <cell r="A3463" t="str">
            <v>ITEM  PEMBAYARAN</v>
          </cell>
          <cell r="D3463" t="str">
            <v xml:space="preserve">:  5.7 (1) </v>
          </cell>
          <cell r="J3463" t="str">
            <v>Analisa EI-7171</v>
          </cell>
        </row>
        <row r="3464">
          <cell r="A3464" t="str">
            <v>JENIS PEKERJAAN</v>
          </cell>
          <cell r="D3464" t="str">
            <v>: Wet  Lean Concrete (Tebal 10 cm)</v>
          </cell>
        </row>
        <row r="3465">
          <cell r="A3465" t="str">
            <v xml:space="preserve">SATUAN                                          </v>
          </cell>
          <cell r="E3465" t="str">
            <v>: M2</v>
          </cell>
        </row>
        <row r="3469">
          <cell r="A3469" t="str">
            <v>UNIT PERHITUNGAN :</v>
          </cell>
          <cell r="D3469">
            <v>100</v>
          </cell>
          <cell r="E3469" t="str">
            <v>M3</v>
          </cell>
          <cell r="G3469" t="str">
            <v xml:space="preserve">        URAIAN ANALISA HARGA SATUAN</v>
          </cell>
        </row>
        <row r="3471">
          <cell r="A3471" t="str">
            <v>No.</v>
          </cell>
          <cell r="C3471" t="str">
            <v>U R A I A N</v>
          </cell>
          <cell r="G3471" t="str">
            <v>KODE</v>
          </cell>
          <cell r="H3471" t="str">
            <v>KOEF.</v>
          </cell>
          <cell r="I3471" t="str">
            <v>SATUAN</v>
          </cell>
          <cell r="J3471" t="str">
            <v>KETERANGAN</v>
          </cell>
        </row>
        <row r="3474">
          <cell r="A3474" t="str">
            <v>I.</v>
          </cell>
          <cell r="C3474" t="str">
            <v>ASUMSI</v>
          </cell>
        </row>
        <row r="3475">
          <cell r="A3475">
            <v>1</v>
          </cell>
          <cell r="C3475" t="str">
            <v xml:space="preserve">Menggunakan cara mekanik  </v>
          </cell>
        </row>
        <row r="3476">
          <cell r="A3476">
            <v>2</v>
          </cell>
          <cell r="C3476" t="str">
            <v>Tebal   Lean Concrete  =</v>
          </cell>
          <cell r="H3476">
            <v>10</v>
          </cell>
          <cell r="I3476" t="str">
            <v>CM</v>
          </cell>
        </row>
        <row r="3477">
          <cell r="A3477">
            <v>3</v>
          </cell>
          <cell r="C3477" t="str">
            <v>Beton  ready mix  diterima  di lokasi  pekerjaan</v>
          </cell>
        </row>
        <row r="3478">
          <cell r="A3478">
            <v>4</v>
          </cell>
          <cell r="C3478" t="str">
            <v>Jam kerja efektif per-hari</v>
          </cell>
          <cell r="G3478" t="str">
            <v>Tk</v>
          </cell>
          <cell r="H3478">
            <v>7</v>
          </cell>
          <cell r="I3478" t="str">
            <v>jam</v>
          </cell>
        </row>
        <row r="3479">
          <cell r="A3479">
            <v>5</v>
          </cell>
          <cell r="C3479" t="str">
            <v>Harga ready mix franco lokasi/ proyek</v>
          </cell>
          <cell r="G3479" t="str">
            <v xml:space="preserve"> </v>
          </cell>
          <cell r="H3479" t="str">
            <v xml:space="preserve"> </v>
          </cell>
          <cell r="I3479" t="str">
            <v xml:space="preserve"> </v>
          </cell>
        </row>
        <row r="3480">
          <cell r="C3480" t="str">
            <v xml:space="preserve"> </v>
          </cell>
        </row>
        <row r="3481">
          <cell r="C3481" t="str">
            <v xml:space="preserve"> </v>
          </cell>
        </row>
        <row r="3482">
          <cell r="A3482" t="str">
            <v xml:space="preserve"> </v>
          </cell>
        </row>
        <row r="3484">
          <cell r="A3484" t="str">
            <v>II.</v>
          </cell>
          <cell r="C3484" t="str">
            <v>URUTAN KERJA</v>
          </cell>
        </row>
        <row r="3485">
          <cell r="A3485">
            <v>1</v>
          </cell>
          <cell r="C3485" t="str">
            <v>Mal /bekisting/form work  dipersiapkan sesuai dengan</v>
          </cell>
        </row>
        <row r="3486">
          <cell r="C3486" t="str">
            <v>gambar dan persyaratan</v>
          </cell>
        </row>
        <row r="3487">
          <cell r="A3487">
            <v>2</v>
          </cell>
          <cell r="C3487" t="str">
            <v>Beton di-cor ke dalam mal yang telah disiapkan</v>
          </cell>
        </row>
        <row r="3488">
          <cell r="A3488">
            <v>3</v>
          </cell>
          <cell r="C3488" t="str">
            <v xml:space="preserve">Penghamparan dan perataan dilakukan dengan </v>
          </cell>
        </row>
        <row r="3489">
          <cell r="C3489" t="str">
            <v>dengan memakai alat Slip Form Paver</v>
          </cell>
        </row>
        <row r="3490">
          <cell r="A3490" t="str">
            <v xml:space="preserve"> </v>
          </cell>
        </row>
        <row r="3491">
          <cell r="A3491" t="str">
            <v>III.</v>
          </cell>
          <cell r="C3491" t="str">
            <v>PEMAKAIAN BAHAN, ALAT DAN TENAGA</v>
          </cell>
        </row>
        <row r="3493">
          <cell r="A3493">
            <v>1</v>
          </cell>
          <cell r="C3493" t="str">
            <v>BAHAN</v>
          </cell>
        </row>
        <row r="3494">
          <cell r="A3494" t="str">
            <v>1.a.</v>
          </cell>
          <cell r="C3494" t="str">
            <v>Beton  K-125 Ready mix =  100  * 1.05</v>
          </cell>
          <cell r="H3494">
            <v>105</v>
          </cell>
          <cell r="I3494" t="str">
            <v>M3</v>
          </cell>
        </row>
        <row r="3495">
          <cell r="C3495" t="str">
            <v>Volume  Beton  per M2 = 0,1*1 =</v>
          </cell>
          <cell r="E3495" t="str">
            <v>0,1  M3</v>
          </cell>
        </row>
        <row r="3496">
          <cell r="A3496" t="str">
            <v>b</v>
          </cell>
          <cell r="C3496" t="str">
            <v>Form Work</v>
          </cell>
          <cell r="D3496" t="str">
            <v>= 0.1*100</v>
          </cell>
          <cell r="H3496">
            <v>20</v>
          </cell>
          <cell r="I3496" t="str">
            <v>M2</v>
          </cell>
        </row>
        <row r="3498">
          <cell r="A3498" t="str">
            <v>2.</v>
          </cell>
          <cell r="C3498" t="str">
            <v>ALAT</v>
          </cell>
        </row>
        <row r="3499">
          <cell r="A3499" t="str">
            <v>2.a.</v>
          </cell>
          <cell r="C3499" t="str">
            <v>EXCAVATOR</v>
          </cell>
          <cell r="G3499" t="str">
            <v>(E10)</v>
          </cell>
        </row>
        <row r="3500">
          <cell r="C3500" t="str">
            <v>Kapasitas Bucket</v>
          </cell>
          <cell r="G3500" t="str">
            <v>V</v>
          </cell>
          <cell r="H3500">
            <v>0.93</v>
          </cell>
          <cell r="I3500" t="str">
            <v>M3</v>
          </cell>
        </row>
        <row r="3501">
          <cell r="C3501" t="str">
            <v>Faktor Bucket</v>
          </cell>
          <cell r="G3501" t="str">
            <v>Fb</v>
          </cell>
          <cell r="H3501">
            <v>1</v>
          </cell>
          <cell r="I3501" t="str">
            <v>-</v>
          </cell>
        </row>
        <row r="3502">
          <cell r="C3502" t="str">
            <v>Faktor  Efisiensi alat</v>
          </cell>
          <cell r="G3502" t="str">
            <v>Fa</v>
          </cell>
          <cell r="H3502">
            <v>0.83</v>
          </cell>
          <cell r="I3502" t="str">
            <v>-</v>
          </cell>
        </row>
        <row r="3503">
          <cell r="C3503" t="str">
            <v>Faktor Konversi</v>
          </cell>
          <cell r="G3503" t="str">
            <v>Fv</v>
          </cell>
          <cell r="H3503">
            <v>0.9</v>
          </cell>
        </row>
        <row r="3505">
          <cell r="C3505" t="str">
            <v>Waktu siklus</v>
          </cell>
          <cell r="G3505" t="str">
            <v>Ts1</v>
          </cell>
        </row>
        <row r="3506">
          <cell r="C3506" t="str">
            <v>- Menggali,  memuat dan berputar</v>
          </cell>
          <cell r="G3506" t="str">
            <v>T1</v>
          </cell>
          <cell r="H3506">
            <v>0.317</v>
          </cell>
          <cell r="I3506" t="str">
            <v>menit</v>
          </cell>
        </row>
        <row r="3507">
          <cell r="C3507" t="str">
            <v>- Lain-lain</v>
          </cell>
          <cell r="G3507" t="str">
            <v>T2</v>
          </cell>
          <cell r="H3507">
            <v>0.5</v>
          </cell>
          <cell r="I3507" t="str">
            <v>menit</v>
          </cell>
        </row>
        <row r="3508">
          <cell r="G3508" t="str">
            <v>Ts1</v>
          </cell>
          <cell r="H3508">
            <v>0.81699999999999995</v>
          </cell>
          <cell r="I3508" t="str">
            <v>menit</v>
          </cell>
        </row>
        <row r="3510">
          <cell r="C3510" t="str">
            <v>Kap. Prod. / jam =</v>
          </cell>
          <cell r="D3510" t="str">
            <v>V  x Fb x Fa x Fv x  60</v>
          </cell>
          <cell r="G3510" t="str">
            <v>Q1</v>
          </cell>
          <cell r="H3510">
            <v>5.1019094247246022</v>
          </cell>
          <cell r="I3510" t="str">
            <v xml:space="preserve">M3  </v>
          </cell>
        </row>
        <row r="3511">
          <cell r="D3511" t="str">
            <v>Ts1 x Fk</v>
          </cell>
        </row>
        <row r="3513">
          <cell r="C3513" t="str">
            <v>Koefisien Alat / M3</v>
          </cell>
          <cell r="D3513" t="str">
            <v xml:space="preserve"> =  1  :  Q1</v>
          </cell>
          <cell r="G3513" t="str">
            <v>-</v>
          </cell>
          <cell r="H3513">
            <v>0.19600504766977109</v>
          </cell>
          <cell r="I3513" t="str">
            <v>Jam</v>
          </cell>
        </row>
        <row r="3517">
          <cell r="A3517" t="str">
            <v>2.b.</v>
          </cell>
          <cell r="C3517" t="str">
            <v>SLIP FORM PAVER</v>
          </cell>
        </row>
        <row r="3522">
          <cell r="A3522" t="str">
            <v>2.c.</v>
          </cell>
          <cell r="C3522" t="str">
            <v>CONCRETE VIBRATOR</v>
          </cell>
          <cell r="G3522" t="str">
            <v>(E20)</v>
          </cell>
        </row>
        <row r="3523">
          <cell r="C3523" t="str">
            <v>Kebutuhan Alat Penggetar Beton ini disesuaikan dengan</v>
          </cell>
        </row>
        <row r="3524">
          <cell r="C3524" t="str">
            <v>kapasitas produksi Concrete  Pump</v>
          </cell>
        </row>
        <row r="3525">
          <cell r="C3525" t="str">
            <v>Kap. Prod. / jam  =</v>
          </cell>
          <cell r="G3525" t="str">
            <v>Q3</v>
          </cell>
          <cell r="H3525">
            <v>10</v>
          </cell>
          <cell r="I3525" t="str">
            <v>M3</v>
          </cell>
          <cell r="J3525" t="str">
            <v>Cek Kap prod</v>
          </cell>
        </row>
        <row r="3526">
          <cell r="C3526" t="str">
            <v xml:space="preserve">Kebutuhan utk </v>
          </cell>
          <cell r="D3526">
            <v>100</v>
          </cell>
          <cell r="E3526" t="str">
            <v>M3</v>
          </cell>
          <cell r="G3526" t="str">
            <v>(E20)</v>
          </cell>
          <cell r="H3526">
            <v>10.5</v>
          </cell>
          <cell r="I3526" t="str">
            <v>jam</v>
          </cell>
        </row>
        <row r="3528">
          <cell r="A3528" t="str">
            <v>2.c.</v>
          </cell>
          <cell r="C3528" t="str">
            <v>ALAT BANTU</v>
          </cell>
        </row>
        <row r="3529">
          <cell r="C3529" t="str">
            <v>Diperlukan  :</v>
          </cell>
        </row>
        <row r="3530">
          <cell r="C3530" t="str">
            <v>- Sekop</v>
          </cell>
          <cell r="D3530" t="str">
            <v>=  2  buah</v>
          </cell>
        </row>
        <row r="3531">
          <cell r="C3531" t="str">
            <v>- Pacul</v>
          </cell>
          <cell r="D3531" t="str">
            <v>=  2  buah</v>
          </cell>
        </row>
        <row r="3532">
          <cell r="C3532" t="str">
            <v>Dan lain-lain</v>
          </cell>
        </row>
        <row r="3534">
          <cell r="A3534" t="str">
            <v>3.</v>
          </cell>
          <cell r="C3534" t="str">
            <v>TENAGA</v>
          </cell>
        </row>
        <row r="3535">
          <cell r="C3535" t="str">
            <v xml:space="preserve">Kebutuhan utk </v>
          </cell>
          <cell r="D3535">
            <v>100</v>
          </cell>
          <cell r="E3535" t="str">
            <v>M3</v>
          </cell>
        </row>
        <row r="3536">
          <cell r="C3536" t="str">
            <v>- Pengawas</v>
          </cell>
          <cell r="E3536" t="str">
            <v xml:space="preserve"> </v>
          </cell>
          <cell r="G3536" t="str">
            <v>Pg</v>
          </cell>
          <cell r="H3536">
            <v>7</v>
          </cell>
          <cell r="I3536" t="str">
            <v>hour</v>
          </cell>
        </row>
        <row r="3537">
          <cell r="C3537" t="str">
            <v>- Mandor</v>
          </cell>
          <cell r="E3537" t="str">
            <v>= 1 orang hari</v>
          </cell>
          <cell r="G3537" t="str">
            <v>M</v>
          </cell>
          <cell r="H3537">
            <v>21</v>
          </cell>
          <cell r="I3537" t="str">
            <v>hour</v>
          </cell>
        </row>
        <row r="3538">
          <cell r="C3538" t="str">
            <v>- Tukang/ Tenaga  trampil</v>
          </cell>
          <cell r="E3538" t="str">
            <v xml:space="preserve"> </v>
          </cell>
          <cell r="G3538" t="str">
            <v>Tb</v>
          </cell>
          <cell r="H3538">
            <v>35</v>
          </cell>
          <cell r="I3538" t="str">
            <v>hour</v>
          </cell>
        </row>
        <row r="3539">
          <cell r="C3539" t="str">
            <v>- Pekerja</v>
          </cell>
          <cell r="E3539" t="str">
            <v>= 2 orang hari</v>
          </cell>
          <cell r="G3539" t="str">
            <v>P</v>
          </cell>
          <cell r="H3539">
            <v>49</v>
          </cell>
          <cell r="I3539" t="str">
            <v>hour</v>
          </cell>
        </row>
        <row r="3542">
          <cell r="C3542" t="str">
            <v>DOMINAN: Slip Form Paver</v>
          </cell>
        </row>
        <row r="3553">
          <cell r="A3553" t="str">
            <v>ITEM  PEMBAYARAN</v>
          </cell>
          <cell r="E3553" t="str">
            <v xml:space="preserve">:  5.7 (1) </v>
          </cell>
          <cell r="J3553" t="str">
            <v>Analisa EI-7171</v>
          </cell>
        </row>
        <row r="3554">
          <cell r="A3554" t="str">
            <v>JENIS PEKERJAAN</v>
          </cell>
          <cell r="E3554" t="str">
            <v>: Wet  Lean Concrete (Tebal 10 cm)</v>
          </cell>
        </row>
        <row r="3555">
          <cell r="A3555" t="str">
            <v xml:space="preserve">SATUAN                                          </v>
          </cell>
          <cell r="E3555" t="str">
            <v>: M3</v>
          </cell>
        </row>
        <row r="3558">
          <cell r="A3558" t="str">
            <v>UNIT PERHITUNGAN :</v>
          </cell>
          <cell r="D3558">
            <v>100</v>
          </cell>
          <cell r="E3558" t="str">
            <v>M3</v>
          </cell>
          <cell r="G3558" t="str">
            <v xml:space="preserve">        URAIAN ANALISA HARGA SATUAN</v>
          </cell>
        </row>
        <row r="3560">
          <cell r="A3560" t="str">
            <v>4.</v>
          </cell>
          <cell r="C3560" t="str">
            <v>HARGA DASAR SATUAN UPAH, BAHAN DAN ALAT</v>
          </cell>
        </row>
        <row r="3561">
          <cell r="C3561" t="str">
            <v>Lihat lampiran.</v>
          </cell>
        </row>
        <row r="3563">
          <cell r="A3563" t="str">
            <v>5.</v>
          </cell>
          <cell r="C3563" t="str">
            <v>ANALISA HARGA SATUAN PEKERJAAN</v>
          </cell>
        </row>
        <row r="3564">
          <cell r="C3564" t="str">
            <v>Lihat perhitungan dalam FORMULIR STANDAR UNTUK</v>
          </cell>
        </row>
        <row r="3565">
          <cell r="C3565" t="str">
            <v>PEREKEMAN ANALISA MASING-MASING HARGA</v>
          </cell>
        </row>
        <row r="3566">
          <cell r="C3566" t="str">
            <v>SATUAN.</v>
          </cell>
        </row>
        <row r="3567">
          <cell r="C3567" t="str">
            <v>Didapat Harga Satuan Pekerjaan :</v>
          </cell>
        </row>
        <row r="3569">
          <cell r="C3569" t="str">
            <v xml:space="preserve">Rp.  </v>
          </cell>
          <cell r="D3569">
            <v>56726.178538879387</v>
          </cell>
          <cell r="E3569" t="str">
            <v xml:space="preserve"> / M2</v>
          </cell>
        </row>
        <row r="3572">
          <cell r="A3572" t="str">
            <v>6.</v>
          </cell>
          <cell r="C3572" t="str">
            <v>WAKTU PELAKSANAAN YANG DIPERLUKAN</v>
          </cell>
        </row>
        <row r="3573">
          <cell r="C3573" t="str">
            <v>Masa Pelaksanaan :</v>
          </cell>
          <cell r="D3573" t="str">
            <v>. . . . . . . . . . . .</v>
          </cell>
          <cell r="E3573" t="str">
            <v>bulan</v>
          </cell>
        </row>
        <row r="3575">
          <cell r="A3575" t="str">
            <v>7.</v>
          </cell>
          <cell r="C3575" t="str">
            <v>VOLUME PEKERJAAN YANG DIPERLUKAN</v>
          </cell>
        </row>
        <row r="3576">
          <cell r="C3576" t="str">
            <v>Volume pekerjaan  :</v>
          </cell>
          <cell r="D3576">
            <v>1</v>
          </cell>
          <cell r="E3576" t="str">
            <v>M2</v>
          </cell>
        </row>
        <row r="3582">
          <cell r="A3582" t="str">
            <v>ITEM PEMBAYARAN NO.</v>
          </cell>
          <cell r="D3582" t="str">
            <v>:  5.7 (2)</v>
          </cell>
          <cell r="J3582" t="str">
            <v>Analisa EI-511</v>
          </cell>
        </row>
        <row r="3583">
          <cell r="A3583" t="str">
            <v>JENIS PEKERJAAN</v>
          </cell>
          <cell r="D3583" t="str">
            <v>: Sand Bedding (t=5 cm)</v>
          </cell>
        </row>
        <row r="3584">
          <cell r="A3584" t="str">
            <v>SATUAN PEMBAYARAN</v>
          </cell>
          <cell r="D3584" t="str">
            <v>:  M2</v>
          </cell>
          <cell r="H3584" t="str">
            <v xml:space="preserve">         URAIAN ANALISA HARGA SATUAN</v>
          </cell>
        </row>
        <row r="3587">
          <cell r="A3587" t="str">
            <v>No.</v>
          </cell>
          <cell r="C3587" t="str">
            <v>U R A I A N</v>
          </cell>
          <cell r="G3587" t="str">
            <v>KODE</v>
          </cell>
          <cell r="H3587" t="str">
            <v>KOEF.</v>
          </cell>
          <cell r="I3587" t="str">
            <v>SATUAN</v>
          </cell>
          <cell r="J3587" t="str">
            <v>KETERANGAN</v>
          </cell>
        </row>
        <row r="3590">
          <cell r="A3590" t="str">
            <v>I.</v>
          </cell>
          <cell r="C3590" t="str">
            <v>ASUMSI</v>
          </cell>
        </row>
        <row r="3591">
          <cell r="A3591">
            <v>1</v>
          </cell>
          <cell r="C3591" t="str">
            <v>Pekerjaan dilakukan secara mekanis</v>
          </cell>
        </row>
        <row r="3592">
          <cell r="A3592">
            <v>2</v>
          </cell>
          <cell r="C3592" t="str">
            <v>Lokasi pekerjaan : sepanjang jalan</v>
          </cell>
        </row>
        <row r="3593">
          <cell r="A3593">
            <v>3</v>
          </cell>
          <cell r="C3593" t="str">
            <v>Kondisi Jalan   :  sedang / baik</v>
          </cell>
        </row>
        <row r="3594">
          <cell r="A3594">
            <v>4</v>
          </cell>
          <cell r="C3594" t="str">
            <v>Jam kerja efektif per-hari</v>
          </cell>
          <cell r="G3594" t="str">
            <v>Tk</v>
          </cell>
          <cell r="H3594">
            <v>7</v>
          </cell>
          <cell r="I3594" t="str">
            <v>Jam</v>
          </cell>
        </row>
        <row r="3595">
          <cell r="A3595">
            <v>5</v>
          </cell>
          <cell r="C3595" t="str">
            <v>Faktor pengembangan bahan</v>
          </cell>
          <cell r="G3595" t="str">
            <v>Fk</v>
          </cell>
          <cell r="H3595">
            <v>1.17</v>
          </cell>
          <cell r="I3595" t="str">
            <v>-</v>
          </cell>
        </row>
        <row r="3596">
          <cell r="A3596">
            <v>6</v>
          </cell>
          <cell r="C3596" t="str">
            <v>Tebal hamparan padat</v>
          </cell>
          <cell r="G3596" t="str">
            <v>t</v>
          </cell>
          <cell r="H3596">
            <v>0.05</v>
          </cell>
          <cell r="I3596" t="str">
            <v>M</v>
          </cell>
        </row>
        <row r="3598">
          <cell r="A3598" t="str">
            <v>II.</v>
          </cell>
          <cell r="C3598" t="str">
            <v>URUTAN KERJA</v>
          </cell>
        </row>
        <row r="3599">
          <cell r="A3599">
            <v>1</v>
          </cell>
          <cell r="C3599" t="str">
            <v>Wheel Loader memuat ke dalam Dump Truck</v>
          </cell>
        </row>
        <row r="3600">
          <cell r="A3600">
            <v>2</v>
          </cell>
          <cell r="C3600" t="str">
            <v>Dump Truck mengangkut ke lapangan dengan jarak</v>
          </cell>
        </row>
        <row r="3601">
          <cell r="C3601" t="str">
            <v>quari ke lapangan</v>
          </cell>
          <cell r="G3601" t="str">
            <v>L</v>
          </cell>
          <cell r="H3601">
            <v>80.61</v>
          </cell>
          <cell r="I3601" t="str">
            <v>Km</v>
          </cell>
        </row>
        <row r="3602">
          <cell r="A3602">
            <v>3</v>
          </cell>
          <cell r="C3602" t="str">
            <v>Material dihampar dengan menggunakan Motor Grader</v>
          </cell>
        </row>
        <row r="3603">
          <cell r="A3603">
            <v>4</v>
          </cell>
          <cell r="C3603" t="str">
            <v>Hamparan material disiram air dengan Watertank Truck</v>
          </cell>
        </row>
        <row r="3604">
          <cell r="C3604" t="str">
            <v>(sebelum pelaksanaan pemadatan) dan dipadatkan</v>
          </cell>
        </row>
        <row r="3605">
          <cell r="C3605" t="str">
            <v>dengan menggunakan Tandem Roller</v>
          </cell>
        </row>
        <row r="3606">
          <cell r="A3606">
            <v>5</v>
          </cell>
          <cell r="C3606" t="str">
            <v>Selama pemadatan sekelompok pekerja  akan</v>
          </cell>
        </row>
        <row r="3607">
          <cell r="C3607" t="str">
            <v>merapikan tepi hamparan dan level permukaan</v>
          </cell>
        </row>
        <row r="3608">
          <cell r="C3608" t="str">
            <v>dengan menggunakan alat bantu</v>
          </cell>
        </row>
        <row r="3610">
          <cell r="A3610" t="str">
            <v>III.</v>
          </cell>
          <cell r="C3610" t="str">
            <v>PEMAKAIAN BAHAN, ALAT DAN TENAGA</v>
          </cell>
        </row>
        <row r="3611">
          <cell r="A3611" t="str">
            <v xml:space="preserve">   1.</v>
          </cell>
          <cell r="C3611" t="str">
            <v>BAHAN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</sheetNames>
    <sheetDataSet>
      <sheetData sheetId="0" refreshError="1">
        <row r="841">
          <cell r="T841" t="str">
            <v>Analisa EI-322</v>
          </cell>
        </row>
        <row r="843">
          <cell r="L843" t="str">
            <v>FORMULIR STANDAR UNTUK</v>
          </cell>
        </row>
        <row r="844">
          <cell r="L844" t="str">
            <v>PEREKAMAN ANALISA MASING-MASING HARGA SATUAN</v>
          </cell>
        </row>
        <row r="845">
          <cell r="L845" t="str">
            <v xml:space="preserve">                                                                                                            </v>
          </cell>
        </row>
        <row r="848">
          <cell r="L848" t="str">
            <v>PROYEK</v>
          </cell>
          <cell r="O848" t="str">
            <v>: Proyek Pembangunan Jalan Pantai Utara  Jawa Barat</v>
          </cell>
        </row>
        <row r="849">
          <cell r="L849" t="str">
            <v>No. PAKET KONTRAK</v>
          </cell>
          <cell r="O849" t="str">
            <v xml:space="preserve">: </v>
          </cell>
        </row>
        <row r="850">
          <cell r="L850" t="str">
            <v>NAMA PAKET</v>
          </cell>
          <cell r="O850" t="str">
            <v>:  Flyover  Pamanukan</v>
          </cell>
        </row>
        <row r="851">
          <cell r="L851" t="str">
            <v>PROP / KAB / KODYA</v>
          </cell>
          <cell r="O851" t="str">
            <v>: Jawa Barat</v>
          </cell>
        </row>
        <row r="852">
          <cell r="L852" t="str">
            <v>ITEM PEMBAYARAN NO.</v>
          </cell>
          <cell r="O852" t="str">
            <v>:  3.2 (2)</v>
          </cell>
          <cell r="R852" t="str">
            <v>PERKIRAAN VOL. PEK.</v>
          </cell>
          <cell r="T852" t="str">
            <v>:</v>
          </cell>
          <cell r="U852">
            <v>6571.2013500000003</v>
          </cell>
        </row>
        <row r="853">
          <cell r="L853" t="str">
            <v>JENIS PEKERJAAN</v>
          </cell>
          <cell r="O853" t="str">
            <v>:  Timbunan Pilihan</v>
          </cell>
          <cell r="R853" t="str">
            <v>TOTAL HARGA (Rp.)</v>
          </cell>
          <cell r="T853" t="str">
            <v>:</v>
          </cell>
          <cell r="U853">
            <v>359628773.19481355</v>
          </cell>
        </row>
        <row r="854">
          <cell r="L854" t="str">
            <v>SATUAN PEMBAYARAN</v>
          </cell>
          <cell r="O854" t="str">
            <v>:  M3</v>
          </cell>
          <cell r="R854" t="str">
            <v>% THD. BIAYA PROYEK</v>
          </cell>
          <cell r="T854" t="str">
            <v>:</v>
          </cell>
          <cell r="U854">
            <v>0.70465720727372594</v>
          </cell>
        </row>
        <row r="857">
          <cell r="Q857" t="str">
            <v>PERKIRAAN</v>
          </cell>
          <cell r="R857" t="str">
            <v>HARGA</v>
          </cell>
          <cell r="S857" t="str">
            <v>JUMLAH</v>
          </cell>
        </row>
        <row r="858">
          <cell r="L858" t="str">
            <v>NO.</v>
          </cell>
          <cell r="N858" t="str">
            <v>KOMPONEN</v>
          </cell>
          <cell r="P858" t="str">
            <v>SATUAN</v>
          </cell>
          <cell r="Q858" t="str">
            <v>KUANTITAS</v>
          </cell>
          <cell r="R858" t="str">
            <v>SATUAN</v>
          </cell>
          <cell r="S858" t="str">
            <v>HARGA</v>
          </cell>
        </row>
        <row r="859">
          <cell r="R859" t="str">
            <v>(Rp.)</v>
          </cell>
          <cell r="S859" t="str">
            <v>(Rp.)</v>
          </cell>
        </row>
        <row r="862">
          <cell r="L862" t="str">
            <v>A.</v>
          </cell>
          <cell r="N862" t="str">
            <v>TENAGA</v>
          </cell>
        </row>
        <row r="864">
          <cell r="L864" t="str">
            <v>1.</v>
          </cell>
          <cell r="N864" t="str">
            <v>Pekerja</v>
          </cell>
          <cell r="O864" t="str">
            <v>(L01)</v>
          </cell>
          <cell r="P864" t="str">
            <v>Jam</v>
          </cell>
          <cell r="Q864">
            <v>7.1396697902721989E-2</v>
          </cell>
          <cell r="R864">
            <v>2750</v>
          </cell>
          <cell r="U864">
            <v>196.34091923248548</v>
          </cell>
        </row>
        <row r="865">
          <cell r="L865" t="str">
            <v>2.</v>
          </cell>
          <cell r="N865" t="str">
            <v>Mandor</v>
          </cell>
          <cell r="O865" t="str">
            <v>(L03)</v>
          </cell>
          <cell r="P865" t="str">
            <v>Jam</v>
          </cell>
          <cell r="Q865">
            <v>1.7849174475680497E-2</v>
          </cell>
          <cell r="R865">
            <v>4000</v>
          </cell>
          <cell r="U865">
            <v>71.396697902721996</v>
          </cell>
        </row>
        <row r="868">
          <cell r="Q868" t="str">
            <v xml:space="preserve">JUMLAH HARGA TENAGA   </v>
          </cell>
          <cell r="U868">
            <v>267.73761713520747</v>
          </cell>
        </row>
        <row r="870">
          <cell r="L870" t="str">
            <v>B.</v>
          </cell>
          <cell r="N870" t="str">
            <v>BAHAN</v>
          </cell>
        </row>
        <row r="872">
          <cell r="L872" t="str">
            <v>1.</v>
          </cell>
          <cell r="N872" t="str">
            <v>Bahan pilihan   (M09)</v>
          </cell>
          <cell r="O872" t="str">
            <v>(M09)</v>
          </cell>
          <cell r="P872" t="str">
            <v>M3</v>
          </cell>
          <cell r="Q872">
            <v>1.2</v>
          </cell>
          <cell r="R872">
            <v>21000</v>
          </cell>
          <cell r="U872">
            <v>25200</v>
          </cell>
        </row>
        <row r="878">
          <cell r="Q878" t="str">
            <v xml:space="preserve">JUMLAH HARGA BAHAN   </v>
          </cell>
          <cell r="U878">
            <v>25200</v>
          </cell>
        </row>
        <row r="880">
          <cell r="L880" t="str">
            <v>C.</v>
          </cell>
          <cell r="N880" t="str">
            <v>PERALATAN</v>
          </cell>
        </row>
        <row r="881">
          <cell r="L881" t="str">
            <v>1.</v>
          </cell>
          <cell r="N881" t="str">
            <v>Wheel  Loader</v>
          </cell>
          <cell r="O881" t="str">
            <v>(E15)</v>
          </cell>
          <cell r="P881" t="str">
            <v>Jam</v>
          </cell>
          <cell r="Q881">
            <v>1.7849174475680497E-2</v>
          </cell>
          <cell r="R881">
            <v>181182.97084330328</v>
          </cell>
          <cell r="U881">
            <v>3233.9664586042527</v>
          </cell>
        </row>
        <row r="882">
          <cell r="L882" t="str">
            <v>2.</v>
          </cell>
          <cell r="N882" t="str">
            <v>Dump Truck</v>
          </cell>
          <cell r="O882" t="str">
            <v>(E08)</v>
          </cell>
          <cell r="P882" t="str">
            <v>Jam</v>
          </cell>
          <cell r="Q882">
            <v>0.16265060240963855</v>
          </cell>
          <cell r="R882">
            <v>90902.327191025077</v>
          </cell>
          <cell r="U882">
            <v>14785.318278058296</v>
          </cell>
        </row>
        <row r="883">
          <cell r="L883" t="str">
            <v>3.</v>
          </cell>
          <cell r="N883" t="str">
            <v>Motor Grader</v>
          </cell>
          <cell r="O883" t="str">
            <v>(E13)</v>
          </cell>
          <cell r="P883" t="str">
            <v>Jam</v>
          </cell>
          <cell r="Q883">
            <v>1.5618027666220438E-2</v>
          </cell>
          <cell r="R883">
            <v>249349.23784774702</v>
          </cell>
          <cell r="U883">
            <v>3894.3432952570934</v>
          </cell>
        </row>
        <row r="884">
          <cell r="L884" t="str">
            <v>3.</v>
          </cell>
          <cell r="N884" t="str">
            <v>Vibro Roller</v>
          </cell>
          <cell r="O884" t="str">
            <v>(E19)</v>
          </cell>
          <cell r="P884" t="str">
            <v>Jam</v>
          </cell>
          <cell r="Q884">
            <v>1.6064257028112448E-2</v>
          </cell>
          <cell r="R884">
            <v>105030.97519263501</v>
          </cell>
          <cell r="U884">
            <v>1687.2445814077912</v>
          </cell>
        </row>
        <row r="885">
          <cell r="L885" t="str">
            <v>4.</v>
          </cell>
          <cell r="N885" t="str">
            <v>Water Tanker</v>
          </cell>
          <cell r="O885" t="str">
            <v>(E23)</v>
          </cell>
          <cell r="P885" t="str">
            <v>Jam</v>
          </cell>
          <cell r="Q885">
            <v>7.0281124497991983E-3</v>
          </cell>
          <cell r="R885">
            <v>85958.879632794691</v>
          </cell>
          <cell r="U885">
            <v>604.12867211803507</v>
          </cell>
        </row>
        <row r="886">
          <cell r="L886" t="str">
            <v>5.</v>
          </cell>
          <cell r="N886" t="str">
            <v>Alat  Bantu</v>
          </cell>
          <cell r="P886" t="str">
            <v>Ls</v>
          </cell>
          <cell r="Q886">
            <v>1</v>
          </cell>
          <cell r="R886">
            <v>80</v>
          </cell>
          <cell r="U886">
            <v>80</v>
          </cell>
        </row>
        <row r="890">
          <cell r="Q890" t="str">
            <v xml:space="preserve">JUMLAH HARGA PERALATAN   </v>
          </cell>
          <cell r="U890">
            <v>24285.001285445473</v>
          </cell>
        </row>
        <row r="892">
          <cell r="L892" t="str">
            <v>D.</v>
          </cell>
          <cell r="N892" t="str">
            <v>JUMLAH HARGA TENAGA, BAHAN DAN PERALATAN  ( A + B + C )</v>
          </cell>
          <cell r="U892">
            <v>49752.738902580677</v>
          </cell>
        </row>
        <row r="893">
          <cell r="L893" t="str">
            <v>E.</v>
          </cell>
          <cell r="N893" t="str">
            <v>OVERHEAD &amp; PROFIT</v>
          </cell>
          <cell r="P893">
            <v>10</v>
          </cell>
          <cell r="Q893" t="str">
            <v>%  x  D</v>
          </cell>
          <cell r="U893">
            <v>4975.2738902580677</v>
          </cell>
        </row>
        <row r="894">
          <cell r="L894" t="str">
            <v>F.</v>
          </cell>
          <cell r="N894" t="str">
            <v>HARGA SATUAN PEKERJAAN  ( D + E )</v>
          </cell>
          <cell r="U894">
            <v>54728.012792838745</v>
          </cell>
        </row>
        <row r="895">
          <cell r="L895" t="str">
            <v>Note: 1</v>
          </cell>
          <cell r="N895" t="str">
            <v>SATUAN dapat berdasarkan atas jam operasi untuk Tenaga Kerja dan Peralatan, volume dan/atau ukuran</v>
          </cell>
        </row>
        <row r="896">
          <cell r="N896" t="str">
            <v>berat untuk bahan-bahan.</v>
          </cell>
        </row>
        <row r="897">
          <cell r="L897">
            <v>2</v>
          </cell>
          <cell r="N897" t="str">
            <v>Kuantitas satuan adalah kuantitas setiap komponen untuk menyelesaikan satu satuan pekerjaan dari nomor</v>
          </cell>
        </row>
        <row r="898">
          <cell r="N898" t="str">
            <v>mata pembayaran.</v>
          </cell>
        </row>
        <row r="899">
          <cell r="L899">
            <v>3</v>
          </cell>
          <cell r="N899" t="str">
            <v>Biaya satuan untuk peralatan sudah termasuk bahan bakar, bahan habis dipakai dan operator.</v>
          </cell>
        </row>
        <row r="900">
          <cell r="L900">
            <v>4</v>
          </cell>
          <cell r="N900" t="str">
            <v>Biaya satuan sudah termasuk pengeluaran untuk seluruh pajak yang berkaitan (tetapi tidak termasuk PPN</v>
          </cell>
        </row>
        <row r="901">
          <cell r="N901" t="str">
            <v>yang dibayar dari kontrak) dan biaya-biaya lainnya.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INFRA"/>
      <sheetName val="INFRA"/>
    </sheetNames>
    <sheetDataSet>
      <sheetData sheetId="0" refreshError="1"/>
      <sheetData sheetId="1">
        <row r="1">
          <cell r="A1" t="str">
            <v>HARGA PERKIRAAN SENDIRI</v>
          </cell>
        </row>
        <row r="2">
          <cell r="A2" t="str">
            <v xml:space="preserve">PEKERJAAN  </v>
          </cell>
        </row>
        <row r="3">
          <cell r="A3" t="str">
            <v xml:space="preserve">LOKASI        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elektrikal"/>
      <sheetName val="CCTV"/>
      <sheetName val="Plumbing"/>
      <sheetName val="Analisa Mek"/>
      <sheetName val="Analisa El"/>
      <sheetName val="Upah + Bahan"/>
    </sheetNames>
    <sheetDataSet>
      <sheetData sheetId="0">
        <row r="12">
          <cell r="C12">
            <v>1678966817.5180001</v>
          </cell>
        </row>
      </sheetData>
      <sheetData sheetId="1">
        <row r="1">
          <cell r="A1" t="str">
            <v>RENCANA ANGGARAN BIAYA</v>
          </cell>
        </row>
        <row r="4">
          <cell r="A4" t="str">
            <v>UNIVERSITAS DIPONEGORO</v>
          </cell>
        </row>
      </sheetData>
      <sheetData sheetId="2">
        <row r="20">
          <cell r="F20">
            <v>0</v>
          </cell>
        </row>
      </sheetData>
      <sheetData sheetId="3">
        <row r="117">
          <cell r="F117">
            <v>279191501.60799998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view="pageBreakPreview" zoomScale="73" zoomScaleNormal="73" zoomScaleSheetLayoutView="73" workbookViewId="0">
      <selection activeCell="F6" sqref="F6"/>
    </sheetView>
  </sheetViews>
  <sheetFormatPr defaultColWidth="9.140625" defaultRowHeight="15" customHeight="1"/>
  <cols>
    <col min="1" max="1" width="10.140625" style="118" customWidth="1"/>
    <col min="2" max="2" width="8.7109375" style="118" customWidth="1"/>
    <col min="3" max="3" width="58" style="118" customWidth="1"/>
    <col min="4" max="4" width="19.7109375" style="118" customWidth="1"/>
    <col min="5" max="5" width="31" style="118" customWidth="1"/>
    <col min="6" max="6" width="18.28515625" style="118" customWidth="1"/>
    <col min="7" max="16384" width="9.140625" style="118"/>
  </cols>
  <sheetData>
    <row r="1" spans="1:5" s="105" customFormat="1" ht="31.7" customHeight="1">
      <c r="A1" s="627" t="s">
        <v>221</v>
      </c>
      <c r="B1" s="627"/>
      <c r="C1" s="627"/>
      <c r="D1" s="627"/>
      <c r="E1" s="627"/>
    </row>
    <row r="2" spans="1:5" s="107" customFormat="1" ht="27.75" customHeight="1">
      <c r="A2" s="628" t="s">
        <v>595</v>
      </c>
      <c r="B2" s="628"/>
      <c r="C2" s="628"/>
      <c r="D2" s="628"/>
      <c r="E2" s="628"/>
    </row>
    <row r="3" spans="1:5" s="107" customFormat="1" ht="19.5" customHeight="1">
      <c r="A3" s="106"/>
      <c r="B3" s="106"/>
      <c r="C3" s="106"/>
      <c r="D3" s="106"/>
      <c r="E3" s="106"/>
    </row>
    <row r="4" spans="1:5" s="107" customFormat="1" ht="21.75" customHeight="1">
      <c r="A4" s="3" t="str">
        <f>[12]INFRA!A2</f>
        <v xml:space="preserve">PEKERJAAN  </v>
      </c>
      <c r="B4" s="108"/>
      <c r="C4" s="109" t="str">
        <f>'RAB INFRA'!C3</f>
        <v xml:space="preserve">: PEMBANGUNAN JTU TAHAP 2 ( RUAS LAB TERPADU - JEMBATAN SIKATAK ) </v>
      </c>
      <c r="D4" s="110"/>
      <c r="E4" s="110"/>
    </row>
    <row r="5" spans="1:5" s="107" customFormat="1" ht="21.75" customHeight="1">
      <c r="A5" s="3"/>
      <c r="B5" s="108"/>
      <c r="C5" s="109" t="str">
        <f>'RAB INFRA'!C4</f>
        <v xml:space="preserve">  UNIVERSITAS DIPONEGORO</v>
      </c>
      <c r="D5" s="110"/>
      <c r="E5" s="110"/>
    </row>
    <row r="6" spans="1:5" s="107" customFormat="1" ht="17.45" customHeight="1">
      <c r="A6" s="111" t="str">
        <f>[12]INFRA!A3</f>
        <v xml:space="preserve">LOKASI         </v>
      </c>
      <c r="B6" s="112"/>
      <c r="C6" s="112" t="str">
        <f>'RAB INFRA'!C5</f>
        <v>: UNIVERSITAS DIPONEGORO</v>
      </c>
      <c r="D6" s="113"/>
      <c r="E6" s="114"/>
    </row>
    <row r="7" spans="1:5" s="107" customFormat="1" ht="17.45" customHeight="1" thickBot="1">
      <c r="A7" s="115"/>
      <c r="B7" s="116"/>
      <c r="C7" s="117"/>
      <c r="D7" s="118"/>
      <c r="E7" s="118"/>
    </row>
    <row r="8" spans="1:5" s="104" customFormat="1" ht="42" customHeight="1" thickTop="1" thickBot="1">
      <c r="A8" s="153" t="s">
        <v>6</v>
      </c>
      <c r="B8" s="577" t="s">
        <v>0</v>
      </c>
      <c r="C8" s="577"/>
      <c r="D8" s="578"/>
      <c r="E8" s="154" t="s">
        <v>109</v>
      </c>
    </row>
    <row r="9" spans="1:5" s="104" customFormat="1" ht="20.25" customHeight="1">
      <c r="A9" s="119"/>
      <c r="B9" s="120"/>
      <c r="C9" s="120"/>
      <c r="D9" s="121"/>
      <c r="E9" s="122"/>
    </row>
    <row r="10" spans="1:5" s="14" customFormat="1" ht="27" customHeight="1">
      <c r="A10" s="376" t="str">
        <f>'RAB INFRA'!A11</f>
        <v>I.</v>
      </c>
      <c r="B10" s="377" t="str">
        <f>'RAB INFRA'!B11</f>
        <v>PEKERJAAN PERSIAPAN</v>
      </c>
      <c r="C10" s="378"/>
      <c r="D10" s="379"/>
      <c r="E10" s="380">
        <f>'RAB INFRA'!G11</f>
        <v>56050000</v>
      </c>
    </row>
    <row r="11" spans="1:5" s="14" customFormat="1" ht="27" customHeight="1">
      <c r="A11" s="376" t="str">
        <f>'RAB INFRA'!A23</f>
        <v>II.</v>
      </c>
      <c r="B11" s="381" t="str">
        <f>'RAB INFRA'!B23</f>
        <v>01. PEKERJAAN PEMBERSIHAN LAHAN DAN PENJARANGAN POHON</v>
      </c>
      <c r="C11" s="378"/>
      <c r="D11" s="379"/>
      <c r="E11" s="380">
        <f>'RAB INFRA'!G23</f>
        <v>261063000</v>
      </c>
    </row>
    <row r="12" spans="1:5" s="14" customFormat="1" ht="27" customHeight="1">
      <c r="A12" s="376" t="str">
        <f>'RAB INFRA'!A39</f>
        <v>III.</v>
      </c>
      <c r="B12" s="382" t="str">
        <f>'RAB INFRA'!B39</f>
        <v>02. PEKERJAAN BRONJONG</v>
      </c>
      <c r="C12" s="383"/>
      <c r="D12" s="384"/>
      <c r="E12" s="380">
        <f>'RAB INFRA'!G39</f>
        <v>1137510041.1800001</v>
      </c>
    </row>
    <row r="13" spans="1:5" s="14" customFormat="1" ht="27" customHeight="1">
      <c r="A13" s="376" t="str">
        <f>'RAB INFRA'!A71</f>
        <v>IV.</v>
      </c>
      <c r="B13" s="377" t="str">
        <f>'RAB INFRA'!B71</f>
        <v>03. SALURAN + TALUD</v>
      </c>
      <c r="C13" s="378"/>
      <c r="D13" s="379"/>
      <c r="E13" s="380">
        <f>'RAB INFRA'!G71</f>
        <v>359249170.5</v>
      </c>
    </row>
    <row r="14" spans="1:5" s="14" customFormat="1" ht="27" customHeight="1">
      <c r="A14" s="376" t="str">
        <f>'RAB INFRA'!A93</f>
        <v>V.</v>
      </c>
      <c r="B14" s="377" t="str">
        <f>'RAB INFRA'!B93</f>
        <v>04. PELANDAIAN DAN TALUD</v>
      </c>
      <c r="C14" s="378"/>
      <c r="D14" s="379"/>
      <c r="E14" s="380">
        <f>'RAB INFRA'!G93</f>
        <v>1286555336.6699998</v>
      </c>
    </row>
    <row r="15" spans="1:5" s="14" customFormat="1" ht="27" customHeight="1">
      <c r="A15" s="376" t="str">
        <f>'RAB INFRA'!A134</f>
        <v>VI.</v>
      </c>
      <c r="B15" s="377" t="str">
        <f>'RAB INFRA'!B134</f>
        <v>05. TALUD AREA LINTASAN JALAN</v>
      </c>
      <c r="C15" s="378"/>
      <c r="D15" s="379"/>
      <c r="E15" s="380">
        <f>'RAB INFRA'!G134</f>
        <v>827803111.28999996</v>
      </c>
    </row>
    <row r="16" spans="1:5" s="14" customFormat="1" ht="27" customHeight="1">
      <c r="A16" s="123" t="str">
        <f>'RAB INFRA'!A165</f>
        <v>VII.</v>
      </c>
      <c r="B16" s="124" t="str">
        <f>'RAB INFRA'!B165</f>
        <v>06. SIGNAGE</v>
      </c>
      <c r="C16" s="125"/>
      <c r="D16" s="385"/>
      <c r="E16" s="127">
        <f>'RAB INFRA'!G165</f>
        <v>87466286</v>
      </c>
    </row>
    <row r="17" spans="1:5" s="14" customFormat="1" ht="27" customHeight="1">
      <c r="A17" s="123" t="str">
        <f>'RAB INFRA'!A189</f>
        <v>VIII.</v>
      </c>
      <c r="B17" s="124" t="str">
        <f>'RAB INFRA'!B189</f>
        <v>07. TRAP TANGGA</v>
      </c>
      <c r="C17" s="125"/>
      <c r="D17" s="126"/>
      <c r="E17" s="127">
        <f>'RAB INFRA'!G189</f>
        <v>105550804.425</v>
      </c>
    </row>
    <row r="18" spans="1:5" s="14" customFormat="1" ht="27" customHeight="1">
      <c r="A18" s="123" t="str">
        <f>'RAB INFRA'!A206</f>
        <v>IX.</v>
      </c>
      <c r="B18" s="124" t="str">
        <f>'RAB INFRA'!B206</f>
        <v>08. PEKERJAAN JOGGING TRACK/PEDESTRIAN</v>
      </c>
      <c r="C18" s="125"/>
      <c r="D18" s="126"/>
      <c r="E18" s="127">
        <f>'RAB INFRA'!G206</f>
        <v>1243239329.0833333</v>
      </c>
    </row>
    <row r="19" spans="1:5" s="14" customFormat="1" ht="27" customHeight="1">
      <c r="A19" s="123" t="str">
        <f>'RAB INFRA'!A309</f>
        <v>X.</v>
      </c>
      <c r="B19" s="124" t="str">
        <f>'RAB INFRA'!B309</f>
        <v xml:space="preserve">09. SITTING GROUP ( 5 UNIT ) </v>
      </c>
      <c r="C19" s="125"/>
      <c r="D19" s="126"/>
      <c r="E19" s="127">
        <f>'RAB INFRA'!G309</f>
        <v>168677383.33333331</v>
      </c>
    </row>
    <row r="20" spans="1:5" s="14" customFormat="1" ht="27" customHeight="1">
      <c r="A20" s="123" t="str">
        <f>'RAB INFRA'!A336</f>
        <v>XI.</v>
      </c>
      <c r="B20" s="124" t="str">
        <f>'RAB INFRA'!B336</f>
        <v>10. OUTDOOR GYM ( 3 UNIT )</v>
      </c>
      <c r="C20" s="125"/>
      <c r="D20" s="126"/>
      <c r="E20" s="127">
        <f>'RAB INFRA'!G336</f>
        <v>114515280</v>
      </c>
    </row>
    <row r="21" spans="1:5" s="14" customFormat="1" ht="27" customHeight="1">
      <c r="A21" s="123" t="str">
        <f>'RAB INFRA'!A348</f>
        <v>XII.</v>
      </c>
      <c r="B21" s="124" t="str">
        <f>'RAB INFRA'!B348</f>
        <v xml:space="preserve">11. PELATARAN </v>
      </c>
      <c r="C21" s="125"/>
      <c r="D21" s="126"/>
      <c r="E21" s="127">
        <f>'RAB INFRA'!G348</f>
        <v>419329378.45000005</v>
      </c>
    </row>
    <row r="22" spans="1:5" s="14" customFormat="1" ht="27" customHeight="1">
      <c r="A22" s="123" t="str">
        <f>'RAB INFRA'!A412</f>
        <v>XIII.</v>
      </c>
      <c r="B22" s="124" t="str">
        <f>'RAB INFRA'!B412</f>
        <v>12. GAZEBO ( 5 Unit )</v>
      </c>
      <c r="C22" s="125"/>
      <c r="D22" s="126"/>
      <c r="E22" s="127">
        <f>'RAB INFRA'!G412</f>
        <v>474796371</v>
      </c>
    </row>
    <row r="23" spans="1:5" s="14" customFormat="1" ht="27" customHeight="1">
      <c r="A23" s="123" t="str">
        <f>'RAB INFRA'!A445</f>
        <v>XIV.</v>
      </c>
      <c r="B23" s="124" t="str">
        <f>'RAB INFRA'!B445</f>
        <v>14. JEMBATAN</v>
      </c>
      <c r="C23" s="125"/>
      <c r="D23" s="126"/>
      <c r="E23" s="127">
        <f>'RAB INFRA'!G445</f>
        <v>936479457.97333348</v>
      </c>
    </row>
    <row r="24" spans="1:5" s="14" customFormat="1" ht="27" customHeight="1">
      <c r="A24" s="123" t="str">
        <f>'RAB INFRA'!A475</f>
        <v>XV.</v>
      </c>
      <c r="B24" s="124" t="str">
        <f>'RAB INFRA'!B475</f>
        <v>15. TRIBUN</v>
      </c>
      <c r="C24" s="125"/>
      <c r="D24" s="126"/>
      <c r="E24" s="127">
        <f>'RAB INFRA'!G475</f>
        <v>224909058.75000003</v>
      </c>
    </row>
    <row r="25" spans="1:5" s="14" customFormat="1" ht="27" customHeight="1">
      <c r="A25" s="123" t="str">
        <f>'RAB INFRA'!A498</f>
        <v>XVI.</v>
      </c>
      <c r="B25" s="124" t="str">
        <f>'RAB INFRA'!B498</f>
        <v>16. TAMAN</v>
      </c>
      <c r="C25" s="125"/>
      <c r="D25" s="385"/>
      <c r="E25" s="127">
        <f>'RAB INFRA'!G498</f>
        <v>230884921.19999999</v>
      </c>
    </row>
    <row r="26" spans="1:5" s="14" customFormat="1" ht="27" customHeight="1">
      <c r="A26" s="123" t="str">
        <f>'RAB INFRA'!A562</f>
        <v>XVII.</v>
      </c>
      <c r="B26" s="124" t="str">
        <f>'RAB INFRA'!B562</f>
        <v>17. TANAM POHON</v>
      </c>
      <c r="C26" s="125"/>
      <c r="D26" s="126"/>
      <c r="E26" s="127">
        <f>'RAB INFRA'!G562</f>
        <v>48500000</v>
      </c>
    </row>
    <row r="27" spans="1:5" s="14" customFormat="1" ht="27" customHeight="1">
      <c r="A27" s="123" t="str">
        <f>'RAB INFRA'!A578</f>
        <v>XVIII.</v>
      </c>
      <c r="B27" s="124" t="str">
        <f>'RAB INFRA'!B578</f>
        <v xml:space="preserve">18. PONDASI HIGH MAST ( 3 UNIT ) </v>
      </c>
      <c r="C27" s="125"/>
      <c r="D27" s="126"/>
      <c r="E27" s="127">
        <f>'RAB INFRA'!G578</f>
        <v>25328961.335600004</v>
      </c>
    </row>
    <row r="28" spans="1:5" s="14" customFormat="1" ht="27" customHeight="1">
      <c r="A28" s="370" t="str">
        <f>'RAB INFRA'!A589</f>
        <v>XIX.</v>
      </c>
      <c r="B28" s="371" t="str">
        <f>'RAB INFRA'!B589</f>
        <v xml:space="preserve">19. RIVERSIDE ( 2 UNIT ) </v>
      </c>
      <c r="C28" s="372"/>
      <c r="D28" s="373"/>
      <c r="E28" s="374">
        <f>'RAB INFRA'!G589</f>
        <v>404460223.5</v>
      </c>
    </row>
    <row r="29" spans="1:5" s="14" customFormat="1" ht="27" customHeight="1">
      <c r="A29" s="386" t="str">
        <f>'RAB INFRA'!A610</f>
        <v>XX.</v>
      </c>
      <c r="B29" s="371" t="str">
        <f>'RAB INFRA'!B610</f>
        <v>20. GATE</v>
      </c>
      <c r="C29" s="372"/>
      <c r="D29" s="387"/>
      <c r="E29" s="374">
        <f>'RAB INFRA'!G610</f>
        <v>31215621.750000004</v>
      </c>
    </row>
    <row r="30" spans="1:5" s="14" customFormat="1" ht="27" customHeight="1">
      <c r="A30" s="386" t="str">
        <f>'RAB INFRA'!A632</f>
        <v>XXI.</v>
      </c>
      <c r="B30" s="371" t="str">
        <f>'RAB INFRA'!B632</f>
        <v>21. TROTOAR DAN SALURAN JALAN</v>
      </c>
      <c r="C30" s="372"/>
      <c r="D30" s="387"/>
      <c r="E30" s="374">
        <f>'RAB INFRA'!G632</f>
        <v>574524133.96799994</v>
      </c>
    </row>
    <row r="31" spans="1:5" s="14" customFormat="1" ht="27" customHeight="1">
      <c r="A31" s="370" t="str">
        <f>'RAB INFRA'!A667</f>
        <v>XXII.</v>
      </c>
      <c r="B31" s="371" t="str">
        <f>'RAB INFRA'!B667</f>
        <v>22. TOILET, PLAZA FOOD CONTAINER</v>
      </c>
      <c r="C31" s="372"/>
      <c r="D31" s="373"/>
      <c r="E31" s="374">
        <f>'RAB INFRA'!G667</f>
        <v>810226539.01666665</v>
      </c>
    </row>
    <row r="32" spans="1:5" s="14" customFormat="1" ht="27" customHeight="1">
      <c r="A32" s="123" t="s">
        <v>269</v>
      </c>
      <c r="B32" s="124" t="s">
        <v>399</v>
      </c>
      <c r="C32" s="125"/>
      <c r="D32" s="126"/>
      <c r="E32" s="127">
        <f>'Rekap ME '!C12</f>
        <v>947804100</v>
      </c>
    </row>
    <row r="33" spans="1:5" s="14" customFormat="1" ht="27" customHeight="1" thickBot="1">
      <c r="A33" s="247"/>
      <c r="B33" s="248"/>
      <c r="C33" s="249"/>
      <c r="D33" s="250"/>
      <c r="E33" s="251"/>
    </row>
    <row r="34" spans="1:5" s="104" customFormat="1" ht="20.25" customHeight="1" thickTop="1">
      <c r="A34" s="128"/>
      <c r="B34" s="129"/>
      <c r="C34" s="129"/>
      <c r="D34" s="130" t="s">
        <v>110</v>
      </c>
      <c r="E34" s="131">
        <f>SUM(E10:E33)</f>
        <v>10776138509.425266</v>
      </c>
    </row>
    <row r="35" spans="1:5" s="104" customFormat="1" ht="20.25" customHeight="1">
      <c r="A35" s="132"/>
      <c r="B35" s="133"/>
      <c r="C35" s="133"/>
      <c r="D35" s="134" t="s">
        <v>111</v>
      </c>
      <c r="E35" s="135">
        <f>E34*0.11</f>
        <v>1185375236.0367794</v>
      </c>
    </row>
    <row r="36" spans="1:5" s="104" customFormat="1" ht="20.25" customHeight="1">
      <c r="A36" s="132"/>
      <c r="B36" s="133"/>
      <c r="C36" s="133"/>
      <c r="D36" s="134" t="s">
        <v>112</v>
      </c>
      <c r="E36" s="135">
        <f>E34+E35</f>
        <v>11961513745.462046</v>
      </c>
    </row>
    <row r="37" spans="1:5" s="14" customFormat="1" ht="20.25" customHeight="1">
      <c r="A37" s="136"/>
      <c r="B37" s="137"/>
      <c r="C37" s="137"/>
      <c r="D37" s="138" t="s">
        <v>113</v>
      </c>
      <c r="E37" s="139">
        <f>TRUNC(E36/1000)*1000</f>
        <v>11961513000</v>
      </c>
    </row>
    <row r="38" spans="1:5" s="14" customFormat="1" ht="20.25" customHeight="1" thickBot="1">
      <c r="A38" s="623"/>
      <c r="B38" s="624"/>
      <c r="C38" s="624" t="s">
        <v>594</v>
      </c>
      <c r="D38" s="625"/>
      <c r="E38" s="626">
        <f>E37*110%</f>
        <v>13157664300.000002</v>
      </c>
    </row>
    <row r="39" spans="1:5" s="14" customFormat="1" ht="50.25" customHeight="1" thickTop="1" thickBot="1">
      <c r="A39" s="579"/>
      <c r="B39" s="580"/>
      <c r="C39" s="580"/>
      <c r="D39" s="580"/>
      <c r="E39" s="581"/>
    </row>
    <row r="40" spans="1:5" s="14" customFormat="1" ht="15.75" customHeight="1" thickTop="1">
      <c r="A40" s="118"/>
      <c r="B40" s="118"/>
      <c r="C40" s="118"/>
      <c r="D40" s="140"/>
      <c r="E40" s="140"/>
    </row>
    <row r="41" spans="1:5" s="14" customFormat="1" ht="15" customHeight="1">
      <c r="A41" s="118"/>
      <c r="B41" s="118"/>
      <c r="C41" s="118"/>
      <c r="E41" s="141"/>
    </row>
    <row r="42" spans="1:5" s="14" customFormat="1" ht="17.25" customHeight="1">
      <c r="A42" s="118"/>
      <c r="B42" s="118"/>
      <c r="C42" s="118"/>
      <c r="E42" s="141"/>
    </row>
    <row r="43" spans="1:5" s="14" customFormat="1" ht="17.25" customHeight="1">
      <c r="A43" s="118"/>
      <c r="B43" s="118"/>
      <c r="C43" s="118"/>
      <c r="E43" s="141"/>
    </row>
    <row r="44" spans="1:5" s="14" customFormat="1" ht="17.25" customHeight="1">
      <c r="A44" s="118"/>
      <c r="B44" s="118"/>
      <c r="C44" s="118"/>
      <c r="E44" s="141"/>
    </row>
    <row r="45" spans="1:5" s="14" customFormat="1" ht="17.25" customHeight="1">
      <c r="A45" s="118"/>
      <c r="B45" s="118"/>
      <c r="C45" s="118"/>
      <c r="E45" s="142"/>
    </row>
    <row r="46" spans="1:5" ht="17.25" customHeight="1">
      <c r="E46" s="142"/>
    </row>
    <row r="47" spans="1:5" ht="17.25" customHeight="1">
      <c r="E47" s="142"/>
    </row>
    <row r="48" spans="1:5" ht="17.25" customHeight="1">
      <c r="E48" s="142"/>
    </row>
    <row r="49" spans="4:5" ht="17.25" customHeight="1">
      <c r="E49" s="142"/>
    </row>
    <row r="50" spans="4:5" ht="17.25" customHeight="1">
      <c r="E50" s="150"/>
    </row>
    <row r="51" spans="4:5" ht="17.25" customHeight="1">
      <c r="E51" s="141"/>
    </row>
    <row r="52" spans="4:5" ht="15" customHeight="1">
      <c r="D52" s="141"/>
    </row>
  </sheetData>
  <mergeCells count="4">
    <mergeCell ref="A1:E1"/>
    <mergeCell ref="B8:D8"/>
    <mergeCell ref="A39:E39"/>
    <mergeCell ref="A2:E2"/>
  </mergeCells>
  <printOptions horizontalCentered="1"/>
  <pageMargins left="0.39370078740157483" right="0.39370078740157483" top="0.39370078740157483" bottom="0.39370078740157483" header="0.39370078740157483" footer="0.11811023622047245"/>
  <pageSetup paperSize="9" scale="60" orientation="portrait" horizontalDpi="4294967292" verticalDpi="300" r:id="rId1"/>
  <headerFooter alignWithMargins="0">
    <oddFooter xml:space="preserve">&amp;L&amp;8REKAP </oddFooter>
  </headerFooter>
  <rowBreaks count="2" manualBreakCount="2">
    <brk id="51" max="4" man="1"/>
    <brk id="5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1"/>
  <sheetViews>
    <sheetView view="pageBreakPreview" topLeftCell="F64" zoomScale="90" zoomScaleNormal="100" zoomScaleSheetLayoutView="90" workbookViewId="0">
      <selection activeCell="B726" sqref="B726"/>
    </sheetView>
  </sheetViews>
  <sheetFormatPr defaultColWidth="9.140625" defaultRowHeight="17.45" customHeight="1"/>
  <cols>
    <col min="1" max="1" width="9.28515625" style="14" customWidth="1"/>
    <col min="2" max="2" width="2.7109375" style="14" customWidth="1"/>
    <col min="3" max="3" width="84.85546875" style="14" customWidth="1"/>
    <col min="4" max="4" width="14" style="14" customWidth="1"/>
    <col min="5" max="5" width="6.28515625" style="14" customWidth="1"/>
    <col min="6" max="6" width="16.85546875" style="104" customWidth="1"/>
    <col min="7" max="7" width="34.140625" style="14" customWidth="1"/>
    <col min="8" max="8" width="6.85546875" style="14" customWidth="1"/>
    <col min="9" max="11" width="16" style="14" customWidth="1"/>
    <col min="12" max="12" width="17" style="14" bestFit="1" customWidth="1"/>
    <col min="13" max="13" width="12.85546875" style="14" customWidth="1"/>
    <col min="14" max="14" width="14.7109375" style="14" customWidth="1"/>
    <col min="15" max="15" width="14" style="14" bestFit="1" customWidth="1"/>
    <col min="16" max="16384" width="9.140625" style="14"/>
  </cols>
  <sheetData>
    <row r="1" spans="1:13" ht="98.65" customHeight="1"/>
    <row r="2" spans="1:13" s="7" customFormat="1" ht="26.45" customHeight="1">
      <c r="A2" s="1" t="s">
        <v>220</v>
      </c>
      <c r="B2" s="2"/>
      <c r="C2" s="2"/>
      <c r="D2" s="2"/>
      <c r="E2" s="3"/>
      <c r="F2" s="4"/>
      <c r="G2" s="2"/>
      <c r="H2" s="5"/>
      <c r="I2" s="6"/>
      <c r="J2" s="6"/>
      <c r="K2" s="6"/>
      <c r="L2" s="6"/>
    </row>
    <row r="3" spans="1:13" s="9" customFormat="1" ht="21" customHeight="1">
      <c r="A3" s="3" t="s">
        <v>20</v>
      </c>
      <c r="B3" s="2"/>
      <c r="C3" s="155" t="s">
        <v>241</v>
      </c>
      <c r="D3" s="2"/>
      <c r="E3" s="3"/>
      <c r="F3" s="8"/>
      <c r="G3" s="2"/>
      <c r="H3" s="5"/>
      <c r="I3" s="6"/>
      <c r="J3" s="6"/>
      <c r="K3" s="6"/>
      <c r="L3" s="6"/>
    </row>
    <row r="4" spans="1:13" s="9" customFormat="1" ht="21" customHeight="1">
      <c r="A4" s="3"/>
      <c r="B4" s="2"/>
      <c r="C4" s="155" t="s">
        <v>242</v>
      </c>
      <c r="D4" s="2"/>
      <c r="E4" s="3"/>
      <c r="F4" s="8"/>
      <c r="G4" s="2"/>
      <c r="H4" s="5"/>
      <c r="I4" s="6"/>
      <c r="J4" s="6"/>
      <c r="K4" s="6"/>
      <c r="L4" s="6"/>
    </row>
    <row r="5" spans="1:13" s="9" customFormat="1" ht="21" customHeight="1">
      <c r="A5" s="3" t="s">
        <v>21</v>
      </c>
      <c r="B5" s="2"/>
      <c r="C5" s="2" t="s">
        <v>398</v>
      </c>
      <c r="D5" s="10"/>
      <c r="E5" s="3"/>
      <c r="F5" s="8"/>
      <c r="G5" s="2"/>
      <c r="H5" s="5"/>
      <c r="I5" s="6"/>
      <c r="J5" s="6"/>
      <c r="K5" s="6"/>
      <c r="L5" s="6"/>
    </row>
    <row r="6" spans="1:13" s="9" customFormat="1" ht="21" customHeight="1" thickBot="1">
      <c r="A6" s="11"/>
      <c r="B6" s="12"/>
      <c r="C6" s="12"/>
      <c r="D6" s="12"/>
      <c r="E6" s="3"/>
      <c r="F6" s="8"/>
      <c r="G6" s="2"/>
      <c r="H6" s="5"/>
      <c r="I6" s="6"/>
      <c r="J6" s="6"/>
      <c r="K6" s="6"/>
      <c r="L6" s="6"/>
    </row>
    <row r="7" spans="1:13" s="15" customFormat="1" ht="20.100000000000001" customHeight="1" thickTop="1">
      <c r="A7" s="590" t="s">
        <v>8</v>
      </c>
      <c r="B7" s="593" t="s">
        <v>22</v>
      </c>
      <c r="C7" s="594"/>
      <c r="D7" s="593" t="s">
        <v>23</v>
      </c>
      <c r="E7" s="594"/>
      <c r="F7" s="599" t="s">
        <v>24</v>
      </c>
      <c r="G7" s="602" t="s">
        <v>25</v>
      </c>
      <c r="H7" s="13"/>
      <c r="I7" s="14"/>
      <c r="J7" s="14"/>
      <c r="K7" s="14"/>
    </row>
    <row r="8" spans="1:13" s="15" customFormat="1" ht="20.100000000000001" customHeight="1">
      <c r="A8" s="591"/>
      <c r="B8" s="595"/>
      <c r="C8" s="596"/>
      <c r="D8" s="595"/>
      <c r="E8" s="596"/>
      <c r="F8" s="600"/>
      <c r="G8" s="603"/>
      <c r="H8" s="13"/>
      <c r="I8" s="14" t="s">
        <v>592</v>
      </c>
      <c r="J8" s="15" t="s">
        <v>593</v>
      </c>
    </row>
    <row r="9" spans="1:13" s="15" customFormat="1" ht="20.100000000000001" customHeight="1" thickBot="1">
      <c r="A9" s="592"/>
      <c r="B9" s="597"/>
      <c r="C9" s="598"/>
      <c r="D9" s="597"/>
      <c r="E9" s="598"/>
      <c r="F9" s="601"/>
      <c r="G9" s="604"/>
      <c r="H9" s="13"/>
      <c r="I9" s="14"/>
      <c r="J9" s="14"/>
      <c r="K9" s="14"/>
    </row>
    <row r="10" spans="1:13" s="22" customFormat="1" ht="20.100000000000001" customHeight="1">
      <c r="A10" s="16"/>
      <c r="B10" s="17"/>
      <c r="C10" s="18"/>
      <c r="D10" s="17"/>
      <c r="E10" s="19"/>
      <c r="F10" s="20"/>
      <c r="G10" s="21"/>
      <c r="H10" s="14"/>
      <c r="I10" s="14"/>
      <c r="J10" s="14"/>
      <c r="K10" s="14"/>
    </row>
    <row r="11" spans="1:13" s="22" customFormat="1" ht="20.100000000000001" customHeight="1">
      <c r="A11" s="23" t="s">
        <v>264</v>
      </c>
      <c r="B11" s="164" t="s">
        <v>12</v>
      </c>
      <c r="C11" s="165"/>
      <c r="D11" s="24"/>
      <c r="E11" s="25"/>
      <c r="F11" s="26"/>
      <c r="G11" s="27">
        <f>SUM(G13:G21)</f>
        <v>56050000</v>
      </c>
      <c r="H11" s="14"/>
      <c r="I11" s="14"/>
      <c r="J11" s="14"/>
      <c r="K11" s="14"/>
    </row>
    <row r="12" spans="1:13" s="22" customFormat="1" ht="20.100000000000001" customHeight="1">
      <c r="A12" s="28"/>
      <c r="B12" s="166"/>
      <c r="C12" s="167"/>
      <c r="D12" s="29"/>
      <c r="E12" s="30"/>
      <c r="F12" s="31"/>
      <c r="G12" s="32"/>
      <c r="H12" s="14"/>
      <c r="I12" s="526"/>
      <c r="J12" s="526"/>
      <c r="K12" s="526"/>
      <c r="L12" s="527"/>
      <c r="M12" s="527"/>
    </row>
    <row r="13" spans="1:13" s="22" customFormat="1" ht="20.100000000000001" customHeight="1">
      <c r="A13" s="252">
        <v>1</v>
      </c>
      <c r="B13" s="253" t="s">
        <v>26</v>
      </c>
      <c r="C13" s="167"/>
      <c r="D13" s="254">
        <v>1</v>
      </c>
      <c r="E13" s="255" t="s">
        <v>15</v>
      </c>
      <c r="F13" s="256">
        <v>2000000</v>
      </c>
      <c r="G13" s="32">
        <f t="shared" ref="G13:G21" si="0">D13*F13</f>
        <v>2000000</v>
      </c>
      <c r="H13" s="14"/>
      <c r="I13" s="256">
        <v>12500000</v>
      </c>
      <c r="J13" s="560"/>
      <c r="K13" s="560">
        <f>F13/I13*100</f>
        <v>16</v>
      </c>
      <c r="L13" s="527"/>
      <c r="M13" s="527"/>
    </row>
    <row r="14" spans="1:13" s="22" customFormat="1" ht="20.100000000000001" customHeight="1">
      <c r="A14" s="252">
        <f t="shared" ref="A14:A21" si="1">A13+1</f>
        <v>2</v>
      </c>
      <c r="B14" s="257" t="s">
        <v>13</v>
      </c>
      <c r="C14" s="167"/>
      <c r="D14" s="258">
        <v>1</v>
      </c>
      <c r="E14" s="259" t="s">
        <v>15</v>
      </c>
      <c r="F14" s="260">
        <v>2000000</v>
      </c>
      <c r="G14" s="32">
        <f t="shared" si="0"/>
        <v>2000000</v>
      </c>
      <c r="H14" s="14"/>
      <c r="I14" s="260">
        <v>7800000</v>
      </c>
      <c r="J14" s="560"/>
      <c r="K14" s="560">
        <f t="shared" ref="K14:K77" si="2">F14/I14*100</f>
        <v>25.641025641025639</v>
      </c>
      <c r="L14" s="527"/>
      <c r="M14" s="527"/>
    </row>
    <row r="15" spans="1:13" s="22" customFormat="1" ht="20.100000000000001" customHeight="1">
      <c r="A15" s="252">
        <f t="shared" si="1"/>
        <v>3</v>
      </c>
      <c r="B15" s="261" t="s">
        <v>27</v>
      </c>
      <c r="C15" s="167"/>
      <c r="D15" s="258">
        <v>1</v>
      </c>
      <c r="E15" s="259" t="s">
        <v>15</v>
      </c>
      <c r="F15" s="260">
        <v>2500000</v>
      </c>
      <c r="G15" s="32">
        <f t="shared" si="0"/>
        <v>2500000</v>
      </c>
      <c r="H15" s="14"/>
      <c r="I15" s="260">
        <v>7800000</v>
      </c>
      <c r="J15" s="560"/>
      <c r="K15" s="560">
        <f t="shared" si="2"/>
        <v>32.051282051282051</v>
      </c>
      <c r="L15" s="527"/>
      <c r="M15" s="527"/>
    </row>
    <row r="16" spans="1:13" s="22" customFormat="1" ht="20.100000000000001" customHeight="1">
      <c r="A16" s="252">
        <f t="shared" si="1"/>
        <v>4</v>
      </c>
      <c r="B16" s="262" t="s">
        <v>28</v>
      </c>
      <c r="C16" s="167"/>
      <c r="D16" s="258">
        <v>15</v>
      </c>
      <c r="E16" s="45" t="s">
        <v>38</v>
      </c>
      <c r="F16" s="256">
        <v>750000</v>
      </c>
      <c r="G16" s="32">
        <f>D16*F16</f>
        <v>11250000</v>
      </c>
      <c r="H16" s="14"/>
      <c r="I16" s="256">
        <v>563124.83333333337</v>
      </c>
      <c r="J16" s="560"/>
      <c r="K16" s="560">
        <f t="shared" si="2"/>
        <v>133.18538903008184</v>
      </c>
      <c r="L16" s="527"/>
      <c r="M16" s="527"/>
    </row>
    <row r="17" spans="1:13" s="22" customFormat="1" ht="20.100000000000001" customHeight="1">
      <c r="A17" s="252">
        <f t="shared" si="1"/>
        <v>5</v>
      </c>
      <c r="B17" s="262" t="s">
        <v>29</v>
      </c>
      <c r="C17" s="167"/>
      <c r="D17" s="258">
        <v>20</v>
      </c>
      <c r="E17" s="45" t="s">
        <v>38</v>
      </c>
      <c r="F17" s="256">
        <v>750000</v>
      </c>
      <c r="G17" s="32">
        <f t="shared" si="0"/>
        <v>15000000</v>
      </c>
      <c r="H17" s="14"/>
      <c r="I17" s="256">
        <v>416105.9833333334</v>
      </c>
      <c r="J17" s="560"/>
      <c r="K17" s="560">
        <f t="shared" si="2"/>
        <v>180.24254157364311</v>
      </c>
      <c r="L17" s="527"/>
      <c r="M17" s="527"/>
    </row>
    <row r="18" spans="1:13" s="22" customFormat="1" ht="20.100000000000001" customHeight="1">
      <c r="A18" s="252">
        <f t="shared" si="1"/>
        <v>6</v>
      </c>
      <c r="B18" s="261" t="s">
        <v>30</v>
      </c>
      <c r="C18" s="167"/>
      <c r="D18" s="258">
        <v>1</v>
      </c>
      <c r="E18" s="259" t="s">
        <v>9</v>
      </c>
      <c r="F18" s="260">
        <v>300000</v>
      </c>
      <c r="G18" s="32">
        <f t="shared" si="0"/>
        <v>300000</v>
      </c>
      <c r="H18" s="14"/>
      <c r="I18" s="260">
        <v>376200.00000000006</v>
      </c>
      <c r="J18" s="560"/>
      <c r="K18" s="560">
        <f t="shared" si="2"/>
        <v>79.744816586921843</v>
      </c>
      <c r="L18" s="527"/>
      <c r="M18" s="527"/>
    </row>
    <row r="19" spans="1:13" s="22" customFormat="1" ht="20.100000000000001" customHeight="1">
      <c r="A19" s="252">
        <f t="shared" si="1"/>
        <v>7</v>
      </c>
      <c r="B19" s="262" t="s">
        <v>31</v>
      </c>
      <c r="C19" s="167"/>
      <c r="D19" s="258">
        <v>1</v>
      </c>
      <c r="E19" s="259" t="s">
        <v>15</v>
      </c>
      <c r="F19" s="260">
        <v>10000000</v>
      </c>
      <c r="G19" s="32">
        <f t="shared" si="0"/>
        <v>10000000</v>
      </c>
      <c r="H19" s="14"/>
      <c r="I19" s="260">
        <v>7500000</v>
      </c>
      <c r="J19" s="560"/>
      <c r="K19" s="560">
        <f t="shared" si="2"/>
        <v>133.33333333333331</v>
      </c>
      <c r="L19" s="527"/>
      <c r="M19" s="527"/>
    </row>
    <row r="20" spans="1:13" s="22" customFormat="1" ht="20.100000000000001" customHeight="1">
      <c r="A20" s="252">
        <f t="shared" si="1"/>
        <v>8</v>
      </c>
      <c r="B20" s="262" t="s">
        <v>240</v>
      </c>
      <c r="C20" s="167"/>
      <c r="D20" s="258">
        <v>1</v>
      </c>
      <c r="E20" s="259" t="s">
        <v>15</v>
      </c>
      <c r="F20" s="260">
        <v>10000000</v>
      </c>
      <c r="G20" s="32">
        <f t="shared" ref="G20" si="3">D20*F20</f>
        <v>10000000</v>
      </c>
      <c r="H20" s="14"/>
      <c r="I20" s="260">
        <v>10000000</v>
      </c>
      <c r="J20" s="560"/>
      <c r="K20" s="560">
        <f t="shared" si="2"/>
        <v>100</v>
      </c>
      <c r="L20" s="527"/>
      <c r="M20" s="527"/>
    </row>
    <row r="21" spans="1:13" s="22" customFormat="1" ht="20.100000000000001" customHeight="1">
      <c r="A21" s="252">
        <f t="shared" si="1"/>
        <v>9</v>
      </c>
      <c r="B21" s="262" t="s">
        <v>32</v>
      </c>
      <c r="C21" s="167"/>
      <c r="D21" s="258">
        <v>1</v>
      </c>
      <c r="E21" s="259" t="s">
        <v>15</v>
      </c>
      <c r="F21" s="260">
        <v>3000000</v>
      </c>
      <c r="G21" s="32">
        <f t="shared" si="0"/>
        <v>3000000</v>
      </c>
      <c r="H21" s="14"/>
      <c r="I21" s="260">
        <v>4750000</v>
      </c>
      <c r="J21" s="560"/>
      <c r="K21" s="560">
        <f t="shared" si="2"/>
        <v>63.157894736842103</v>
      </c>
      <c r="L21" s="527"/>
      <c r="M21" s="527"/>
    </row>
    <row r="22" spans="1:13" s="22" customFormat="1" ht="20.100000000000001" customHeight="1">
      <c r="A22" s="263"/>
      <c r="B22" s="264"/>
      <c r="C22" s="167"/>
      <c r="D22" s="29"/>
      <c r="E22" s="30"/>
      <c r="F22" s="31"/>
      <c r="G22" s="32"/>
      <c r="H22" s="14"/>
      <c r="I22" s="31"/>
      <c r="J22" s="561"/>
      <c r="K22" s="560"/>
      <c r="L22" s="527"/>
      <c r="M22" s="527"/>
    </row>
    <row r="23" spans="1:13" s="22" customFormat="1" ht="20.100000000000001" customHeight="1">
      <c r="A23" s="33" t="s">
        <v>33</v>
      </c>
      <c r="B23" s="168" t="s">
        <v>215</v>
      </c>
      <c r="C23" s="169"/>
      <c r="D23" s="34"/>
      <c r="E23" s="35"/>
      <c r="F23" s="36"/>
      <c r="G23" s="37">
        <f>SUM(G25:G37)</f>
        <v>261063000</v>
      </c>
      <c r="H23" s="14"/>
      <c r="I23" s="36"/>
      <c r="J23" s="562"/>
      <c r="K23" s="560"/>
      <c r="L23" s="527"/>
      <c r="M23" s="527"/>
    </row>
    <row r="24" spans="1:13" s="22" customFormat="1" ht="20.100000000000001" customHeight="1">
      <c r="A24" s="28"/>
      <c r="B24" s="265" t="s">
        <v>173</v>
      </c>
      <c r="C24" s="167"/>
      <c r="D24" s="29"/>
      <c r="E24" s="30"/>
      <c r="F24" s="31"/>
      <c r="G24" s="32"/>
      <c r="H24" s="14"/>
      <c r="I24" s="31"/>
      <c r="J24" s="561"/>
      <c r="K24" s="560"/>
      <c r="L24" s="527"/>
      <c r="M24" s="527"/>
    </row>
    <row r="25" spans="1:13" s="22" customFormat="1" ht="20.100000000000001" customHeight="1">
      <c r="A25" s="252">
        <v>1</v>
      </c>
      <c r="B25" s="266" t="s">
        <v>216</v>
      </c>
      <c r="C25" s="167"/>
      <c r="D25" s="267">
        <v>9157</v>
      </c>
      <c r="E25" s="45" t="s">
        <v>40</v>
      </c>
      <c r="F25" s="268">
        <v>2000</v>
      </c>
      <c r="G25" s="32">
        <f>D25*F25</f>
        <v>18314000</v>
      </c>
      <c r="H25" s="14"/>
      <c r="I25" s="256">
        <v>7411.25</v>
      </c>
      <c r="J25" s="560">
        <f>D25*I25</f>
        <v>67864816.25</v>
      </c>
      <c r="K25" s="560">
        <f t="shared" si="2"/>
        <v>26.986001011975034</v>
      </c>
      <c r="L25" s="527"/>
      <c r="M25" s="527"/>
    </row>
    <row r="26" spans="1:13" s="22" customFormat="1" ht="29.25" customHeight="1">
      <c r="A26" s="252">
        <f>A25+1</f>
        <v>2</v>
      </c>
      <c r="B26" s="606" t="s">
        <v>263</v>
      </c>
      <c r="C26" s="607"/>
      <c r="D26" s="267">
        <v>10</v>
      </c>
      <c r="E26" s="269" t="s">
        <v>102</v>
      </c>
      <c r="F26" s="268">
        <v>400000</v>
      </c>
      <c r="G26" s="270">
        <f t="shared" ref="G26:G37" si="4">D26*F26</f>
        <v>4000000</v>
      </c>
      <c r="H26" s="14"/>
      <c r="I26" s="256">
        <v>1000000</v>
      </c>
      <c r="J26" s="560">
        <f t="shared" ref="J26:J37" si="5">D26*I26</f>
        <v>10000000</v>
      </c>
      <c r="K26" s="560">
        <f t="shared" si="2"/>
        <v>40</v>
      </c>
      <c r="L26" s="527"/>
      <c r="M26" s="527"/>
    </row>
    <row r="27" spans="1:13" s="22" customFormat="1" ht="20.100000000000001" customHeight="1">
      <c r="A27" s="28"/>
      <c r="B27" s="265" t="s">
        <v>175</v>
      </c>
      <c r="C27" s="167"/>
      <c r="D27" s="29"/>
      <c r="E27" s="30"/>
      <c r="F27" s="31"/>
      <c r="G27" s="32"/>
      <c r="H27" s="14"/>
      <c r="I27" s="31"/>
      <c r="J27" s="560">
        <f t="shared" si="5"/>
        <v>0</v>
      </c>
      <c r="K27" s="560"/>
      <c r="L27" s="527"/>
      <c r="M27" s="527"/>
    </row>
    <row r="28" spans="1:13" s="22" customFormat="1" ht="20.100000000000001" customHeight="1">
      <c r="A28" s="252">
        <f>A26+1</f>
        <v>3</v>
      </c>
      <c r="B28" s="266" t="s">
        <v>216</v>
      </c>
      <c r="C28" s="167"/>
      <c r="D28" s="267">
        <v>6505</v>
      </c>
      <c r="E28" s="45" t="s">
        <v>38</v>
      </c>
      <c r="F28" s="268">
        <f>F25</f>
        <v>2000</v>
      </c>
      <c r="G28" s="32">
        <f t="shared" si="4"/>
        <v>13010000</v>
      </c>
      <c r="H28" s="14"/>
      <c r="I28" s="256">
        <v>7411.25</v>
      </c>
      <c r="J28" s="560">
        <f t="shared" si="5"/>
        <v>48210181.25</v>
      </c>
      <c r="K28" s="560">
        <f t="shared" si="2"/>
        <v>26.986001011975034</v>
      </c>
      <c r="L28" s="527"/>
      <c r="M28" s="527"/>
    </row>
    <row r="29" spans="1:13" s="22" customFormat="1" ht="25.5" customHeight="1">
      <c r="A29" s="252">
        <f>A28+1</f>
        <v>4</v>
      </c>
      <c r="B29" s="606" t="s">
        <v>222</v>
      </c>
      <c r="C29" s="607"/>
      <c r="D29" s="267">
        <v>10</v>
      </c>
      <c r="E29" s="269" t="s">
        <v>102</v>
      </c>
      <c r="F29" s="268">
        <f>F26</f>
        <v>400000</v>
      </c>
      <c r="G29" s="32">
        <f t="shared" si="4"/>
        <v>4000000</v>
      </c>
      <c r="H29" s="14"/>
      <c r="I29" s="256">
        <v>1000000</v>
      </c>
      <c r="J29" s="560">
        <f t="shared" si="5"/>
        <v>10000000</v>
      </c>
      <c r="K29" s="560">
        <f t="shared" si="2"/>
        <v>40</v>
      </c>
      <c r="L29" s="527"/>
      <c r="M29" s="527"/>
    </row>
    <row r="30" spans="1:13" s="22" customFormat="1" ht="20.100000000000001" customHeight="1">
      <c r="A30" s="28"/>
      <c r="B30" s="265" t="s">
        <v>176</v>
      </c>
      <c r="C30" s="167"/>
      <c r="D30" s="29"/>
      <c r="E30" s="30"/>
      <c r="F30" s="31"/>
      <c r="G30" s="32"/>
      <c r="H30" s="14"/>
      <c r="I30" s="31"/>
      <c r="J30" s="560">
        <f t="shared" si="5"/>
        <v>0</v>
      </c>
      <c r="K30" s="560"/>
      <c r="L30" s="527"/>
      <c r="M30" s="527"/>
    </row>
    <row r="31" spans="1:13" s="22" customFormat="1" ht="20.100000000000001" customHeight="1">
      <c r="A31" s="252">
        <f>A29+1</f>
        <v>5</v>
      </c>
      <c r="B31" s="266" t="s">
        <v>216</v>
      </c>
      <c r="C31" s="167"/>
      <c r="D31" s="267">
        <v>11700</v>
      </c>
      <c r="E31" s="45" t="s">
        <v>38</v>
      </c>
      <c r="F31" s="268">
        <f>F28</f>
        <v>2000</v>
      </c>
      <c r="G31" s="32">
        <f t="shared" si="4"/>
        <v>23400000</v>
      </c>
      <c r="H31" s="14"/>
      <c r="I31" s="256">
        <v>7411.25</v>
      </c>
      <c r="J31" s="560">
        <f t="shared" si="5"/>
        <v>86711625</v>
      </c>
      <c r="K31" s="560">
        <f t="shared" si="2"/>
        <v>26.986001011975034</v>
      </c>
      <c r="L31" s="527"/>
      <c r="M31" s="527"/>
    </row>
    <row r="32" spans="1:13" s="22" customFormat="1" ht="27.75" customHeight="1">
      <c r="A32" s="252">
        <f>A31+1</f>
        <v>6</v>
      </c>
      <c r="B32" s="606" t="s">
        <v>222</v>
      </c>
      <c r="C32" s="607"/>
      <c r="D32" s="267">
        <v>10</v>
      </c>
      <c r="E32" s="269" t="s">
        <v>102</v>
      </c>
      <c r="F32" s="268">
        <f>F29</f>
        <v>400000</v>
      </c>
      <c r="G32" s="270">
        <f t="shared" si="4"/>
        <v>4000000</v>
      </c>
      <c r="H32" s="14"/>
      <c r="I32" s="256">
        <v>1000000</v>
      </c>
      <c r="J32" s="560">
        <f t="shared" si="5"/>
        <v>10000000</v>
      </c>
      <c r="K32" s="560">
        <f t="shared" si="2"/>
        <v>40</v>
      </c>
      <c r="L32" s="527"/>
      <c r="M32" s="527"/>
    </row>
    <row r="33" spans="1:13" s="22" customFormat="1" ht="20.100000000000001" customHeight="1">
      <c r="A33" s="28"/>
      <c r="B33" s="265" t="s">
        <v>177</v>
      </c>
      <c r="C33" s="167"/>
      <c r="D33" s="29"/>
      <c r="E33" s="30"/>
      <c r="F33" s="31"/>
      <c r="G33" s="32"/>
      <c r="H33" s="14"/>
      <c r="I33" s="31"/>
      <c r="J33" s="560">
        <f t="shared" si="5"/>
        <v>0</v>
      </c>
      <c r="K33" s="560"/>
      <c r="L33" s="527"/>
      <c r="M33" s="527"/>
    </row>
    <row r="34" spans="1:13" s="22" customFormat="1" ht="20.100000000000001" customHeight="1">
      <c r="A34" s="252">
        <f>A32+1</f>
        <v>7</v>
      </c>
      <c r="B34" s="266" t="s">
        <v>216</v>
      </c>
      <c r="C34" s="167"/>
      <c r="D34" s="267">
        <v>7647</v>
      </c>
      <c r="E34" s="45" t="s">
        <v>38</v>
      </c>
      <c r="F34" s="268">
        <f>F31</f>
        <v>2000</v>
      </c>
      <c r="G34" s="32">
        <f t="shared" si="4"/>
        <v>15294000</v>
      </c>
      <c r="H34" s="14"/>
      <c r="I34" s="256">
        <v>7411.25</v>
      </c>
      <c r="J34" s="560">
        <f t="shared" si="5"/>
        <v>56673828.75</v>
      </c>
      <c r="K34" s="560">
        <f t="shared" si="2"/>
        <v>26.986001011975034</v>
      </c>
      <c r="L34" s="527"/>
      <c r="M34" s="527"/>
    </row>
    <row r="35" spans="1:13" s="22" customFormat="1" ht="28.5" customHeight="1">
      <c r="A35" s="252">
        <f>A34+1</f>
        <v>8</v>
      </c>
      <c r="B35" s="608" t="s">
        <v>222</v>
      </c>
      <c r="C35" s="607"/>
      <c r="D35" s="267">
        <v>10</v>
      </c>
      <c r="E35" s="269" t="s">
        <v>102</v>
      </c>
      <c r="F35" s="268">
        <f>F32</f>
        <v>400000</v>
      </c>
      <c r="G35" s="270">
        <f t="shared" si="4"/>
        <v>4000000</v>
      </c>
      <c r="H35" s="14"/>
      <c r="I35" s="256">
        <v>1000000</v>
      </c>
      <c r="J35" s="560">
        <f t="shared" si="5"/>
        <v>10000000</v>
      </c>
      <c r="K35" s="560">
        <f t="shared" si="2"/>
        <v>40</v>
      </c>
      <c r="L35" s="527"/>
      <c r="M35" s="527"/>
    </row>
    <row r="36" spans="1:13" s="22" customFormat="1" ht="22.7" customHeight="1">
      <c r="A36" s="252"/>
      <c r="B36" s="609" t="s">
        <v>223</v>
      </c>
      <c r="C36" s="610"/>
      <c r="D36" s="267"/>
      <c r="E36" s="269"/>
      <c r="F36" s="268"/>
      <c r="G36" s="32"/>
      <c r="H36" s="14"/>
      <c r="I36" s="256"/>
      <c r="J36" s="560">
        <f t="shared" si="5"/>
        <v>0</v>
      </c>
      <c r="K36" s="560"/>
      <c r="L36" s="527"/>
      <c r="M36" s="527"/>
    </row>
    <row r="37" spans="1:13" s="22" customFormat="1" ht="23.25" customHeight="1">
      <c r="A37" s="252">
        <v>9</v>
      </c>
      <c r="B37" s="606" t="s">
        <v>342</v>
      </c>
      <c r="C37" s="607"/>
      <c r="D37" s="267">
        <v>35009</v>
      </c>
      <c r="E37" s="45" t="s">
        <v>40</v>
      </c>
      <c r="F37" s="268">
        <v>5000</v>
      </c>
      <c r="G37" s="32">
        <f t="shared" si="4"/>
        <v>175045000</v>
      </c>
      <c r="H37" s="14"/>
      <c r="I37" s="256">
        <v>13062.500000000002</v>
      </c>
      <c r="J37" s="560">
        <f t="shared" si="5"/>
        <v>457305062.50000006</v>
      </c>
      <c r="K37" s="560">
        <f t="shared" si="2"/>
        <v>38.277511961722482</v>
      </c>
      <c r="L37" s="527"/>
      <c r="M37" s="527"/>
    </row>
    <row r="38" spans="1:13" s="22" customFormat="1" ht="20.100000000000001" customHeight="1">
      <c r="A38" s="263"/>
      <c r="B38" s="264"/>
      <c r="C38" s="167"/>
      <c r="D38" s="29"/>
      <c r="E38" s="30"/>
      <c r="F38" s="31"/>
      <c r="G38" s="32"/>
      <c r="H38" s="14"/>
      <c r="I38" s="31"/>
      <c r="J38" s="561"/>
      <c r="K38" s="560"/>
      <c r="L38" s="527"/>
      <c r="M38" s="527"/>
    </row>
    <row r="39" spans="1:13" s="42" customFormat="1" ht="20.100000000000001" customHeight="1">
      <c r="A39" s="38" t="s">
        <v>34</v>
      </c>
      <c r="B39" s="170" t="s">
        <v>35</v>
      </c>
      <c r="C39" s="171"/>
      <c r="D39" s="39"/>
      <c r="E39" s="40"/>
      <c r="F39" s="41"/>
      <c r="G39" s="143">
        <f>SUM(G40:G70)</f>
        <v>1137510041.1800001</v>
      </c>
      <c r="H39" s="535"/>
      <c r="I39" s="41"/>
      <c r="J39" s="563"/>
      <c r="K39" s="560"/>
      <c r="L39" s="528"/>
      <c r="M39" s="528"/>
    </row>
    <row r="40" spans="1:13" s="42" customFormat="1" ht="20.100000000000001" customHeight="1">
      <c r="A40" s="43"/>
      <c r="B40" s="178" t="s">
        <v>36</v>
      </c>
      <c r="C40" s="178"/>
      <c r="D40" s="44"/>
      <c r="E40" s="45"/>
      <c r="F40" s="46"/>
      <c r="G40" s="47"/>
      <c r="H40" s="535"/>
      <c r="I40" s="229"/>
      <c r="J40" s="564"/>
      <c r="K40" s="560"/>
      <c r="L40" s="528"/>
      <c r="M40" s="528"/>
    </row>
    <row r="41" spans="1:13" s="42" customFormat="1" ht="20.100000000000001" customHeight="1">
      <c r="A41" s="271">
        <v>1</v>
      </c>
      <c r="B41" s="272" t="s">
        <v>37</v>
      </c>
      <c r="C41" s="273"/>
      <c r="D41" s="274">
        <v>215.78546699999998</v>
      </c>
      <c r="E41" s="45" t="s">
        <v>38</v>
      </c>
      <c r="F41" s="46">
        <v>50000</v>
      </c>
      <c r="G41" s="275">
        <f>D41*F41</f>
        <v>10789273.35</v>
      </c>
      <c r="H41" s="535"/>
      <c r="I41" s="229">
        <v>68612.5</v>
      </c>
      <c r="J41" s="560">
        <f t="shared" ref="J41:J69" si="6">D41*I41</f>
        <v>14805580.354537498</v>
      </c>
      <c r="K41" s="560">
        <f t="shared" si="2"/>
        <v>72.873018764802339</v>
      </c>
      <c r="L41" s="528"/>
      <c r="M41" s="528"/>
    </row>
    <row r="42" spans="1:13" s="42" customFormat="1" ht="20.100000000000001" customHeight="1">
      <c r="A42" s="271">
        <f>A41+1</f>
        <v>2</v>
      </c>
      <c r="B42" s="272" t="s">
        <v>39</v>
      </c>
      <c r="C42" s="273"/>
      <c r="D42" s="274">
        <v>284.19</v>
      </c>
      <c r="E42" s="45" t="s">
        <v>40</v>
      </c>
      <c r="F42" s="46">
        <v>10000</v>
      </c>
      <c r="G42" s="275">
        <f t="shared" ref="G42:G44" si="7">D42*F42</f>
        <v>2841900</v>
      </c>
      <c r="H42" s="535"/>
      <c r="I42" s="229">
        <v>10839.583333333334</v>
      </c>
      <c r="J42" s="560">
        <f t="shared" si="6"/>
        <v>3080501.1875</v>
      </c>
      <c r="K42" s="560">
        <f t="shared" si="2"/>
        <v>92.254468575821633</v>
      </c>
      <c r="L42" s="528"/>
      <c r="M42" s="528"/>
    </row>
    <row r="43" spans="1:13" s="42" customFormat="1" ht="20.100000000000001" customHeight="1">
      <c r="A43" s="271">
        <f>A42+1</f>
        <v>3</v>
      </c>
      <c r="B43" s="272" t="s">
        <v>41</v>
      </c>
      <c r="C43" s="273"/>
      <c r="D43" s="274">
        <v>284.19</v>
      </c>
      <c r="E43" s="45" t="s">
        <v>38</v>
      </c>
      <c r="F43" s="46">
        <f>(400000+80000+100000)*1.15</f>
        <v>667000</v>
      </c>
      <c r="G43" s="275">
        <f t="shared" si="7"/>
        <v>189554730</v>
      </c>
      <c r="H43" s="535"/>
      <c r="I43" s="229">
        <v>882413.81250000012</v>
      </c>
      <c r="J43" s="560">
        <f t="shared" si="6"/>
        <v>250773181.37437505</v>
      </c>
      <c r="K43" s="560">
        <f t="shared" si="2"/>
        <v>75.588118697994645</v>
      </c>
      <c r="L43" s="528"/>
      <c r="M43" s="528"/>
    </row>
    <row r="44" spans="1:13" s="42" customFormat="1" ht="20.100000000000001" customHeight="1">
      <c r="A44" s="271">
        <f>A43+1</f>
        <v>4</v>
      </c>
      <c r="B44" s="272" t="s">
        <v>42</v>
      </c>
      <c r="C44" s="273"/>
      <c r="D44" s="274">
        <v>258.94256039999999</v>
      </c>
      <c r="E44" s="45" t="s">
        <v>38</v>
      </c>
      <c r="F44" s="46">
        <v>50000</v>
      </c>
      <c r="G44" s="275">
        <f t="shared" si="7"/>
        <v>12947128.02</v>
      </c>
      <c r="H44" s="535"/>
      <c r="I44" s="229">
        <v>28909.375000000004</v>
      </c>
      <c r="J44" s="560">
        <f t="shared" si="6"/>
        <v>7485867.5820637504</v>
      </c>
      <c r="K44" s="560">
        <f t="shared" si="2"/>
        <v>172.9542752134904</v>
      </c>
      <c r="L44" s="528"/>
      <c r="M44" s="528"/>
    </row>
    <row r="45" spans="1:13" s="42" customFormat="1" ht="20.100000000000001" customHeight="1">
      <c r="A45" s="43"/>
      <c r="B45" s="178" t="s">
        <v>43</v>
      </c>
      <c r="C45" s="178"/>
      <c r="D45" s="44"/>
      <c r="E45" s="45"/>
      <c r="F45" s="46"/>
      <c r="G45" s="47"/>
      <c r="H45" s="535"/>
      <c r="I45" s="229"/>
      <c r="J45" s="560">
        <f t="shared" si="6"/>
        <v>0</v>
      </c>
      <c r="K45" s="560"/>
      <c r="L45" s="528"/>
      <c r="M45" s="528"/>
    </row>
    <row r="46" spans="1:13" s="42" customFormat="1" ht="20.100000000000001" customHeight="1">
      <c r="A46" s="271">
        <f>A44+1</f>
        <v>5</v>
      </c>
      <c r="B46" s="272" t="s">
        <v>37</v>
      </c>
      <c r="C46" s="273"/>
      <c r="D46" s="274">
        <v>188.47373200000001</v>
      </c>
      <c r="E46" s="45" t="s">
        <v>38</v>
      </c>
      <c r="F46" s="46">
        <f>F41</f>
        <v>50000</v>
      </c>
      <c r="G46" s="275">
        <f>D46*F46</f>
        <v>9423686.6000000015</v>
      </c>
      <c r="H46" s="535"/>
      <c r="I46" s="229">
        <v>68612.5</v>
      </c>
      <c r="J46" s="560">
        <f t="shared" si="6"/>
        <v>12931653.93685</v>
      </c>
      <c r="K46" s="560">
        <f t="shared" si="2"/>
        <v>72.873018764802339</v>
      </c>
      <c r="L46" s="528"/>
      <c r="M46" s="528"/>
    </row>
    <row r="47" spans="1:13" s="42" customFormat="1" ht="20.100000000000001" customHeight="1">
      <c r="A47" s="271">
        <f>A46+1</f>
        <v>6</v>
      </c>
      <c r="B47" s="272" t="s">
        <v>39</v>
      </c>
      <c r="C47" s="273"/>
      <c r="D47" s="274">
        <v>300.65999999999997</v>
      </c>
      <c r="E47" s="45" t="s">
        <v>40</v>
      </c>
      <c r="F47" s="46">
        <f t="shared" ref="F47:F49" si="8">F42</f>
        <v>10000</v>
      </c>
      <c r="G47" s="275">
        <f t="shared" ref="G47:G49" si="9">D47*F47</f>
        <v>3006599.9999999995</v>
      </c>
      <c r="H47" s="535"/>
      <c r="I47" s="229">
        <v>10839.583333333334</v>
      </c>
      <c r="J47" s="560">
        <f t="shared" si="6"/>
        <v>3259029.125</v>
      </c>
      <c r="K47" s="560">
        <f t="shared" si="2"/>
        <v>92.254468575821633</v>
      </c>
      <c r="L47" s="528"/>
      <c r="M47" s="528"/>
    </row>
    <row r="48" spans="1:13" s="42" customFormat="1" ht="20.100000000000001" customHeight="1">
      <c r="A48" s="271">
        <f>A47+1</f>
        <v>7</v>
      </c>
      <c r="B48" s="272" t="s">
        <v>41</v>
      </c>
      <c r="C48" s="273"/>
      <c r="D48" s="274">
        <v>300.65999999999997</v>
      </c>
      <c r="E48" s="45" t="s">
        <v>38</v>
      </c>
      <c r="F48" s="46">
        <f t="shared" si="8"/>
        <v>667000</v>
      </c>
      <c r="G48" s="275">
        <f t="shared" si="9"/>
        <v>200540219.99999997</v>
      </c>
      <c r="H48" s="535"/>
      <c r="I48" s="229">
        <v>882413.81250000012</v>
      </c>
      <c r="J48" s="560">
        <f t="shared" si="6"/>
        <v>265306536.86625001</v>
      </c>
      <c r="K48" s="560">
        <f t="shared" si="2"/>
        <v>75.588118697994645</v>
      </c>
      <c r="L48" s="528"/>
      <c r="M48" s="528"/>
    </row>
    <row r="49" spans="1:13" s="42" customFormat="1" ht="20.100000000000001" customHeight="1">
      <c r="A49" s="271">
        <f>A48+1</f>
        <v>8</v>
      </c>
      <c r="B49" s="272" t="s">
        <v>42</v>
      </c>
      <c r="C49" s="273"/>
      <c r="D49" s="274">
        <v>226.1684784</v>
      </c>
      <c r="E49" s="45" t="s">
        <v>38</v>
      </c>
      <c r="F49" s="46">
        <f t="shared" si="8"/>
        <v>50000</v>
      </c>
      <c r="G49" s="275">
        <f t="shared" si="9"/>
        <v>11308423.92</v>
      </c>
      <c r="H49" s="535"/>
      <c r="I49" s="229">
        <v>28909.375000000004</v>
      </c>
      <c r="J49" s="560">
        <f t="shared" si="6"/>
        <v>6538389.3552450007</v>
      </c>
      <c r="K49" s="560">
        <f t="shared" si="2"/>
        <v>172.9542752134904</v>
      </c>
      <c r="L49" s="528"/>
      <c r="M49" s="528"/>
    </row>
    <row r="50" spans="1:13" s="42" customFormat="1" ht="20.100000000000001" customHeight="1">
      <c r="A50" s="43"/>
      <c r="B50" s="178" t="s">
        <v>44</v>
      </c>
      <c r="C50" s="178"/>
      <c r="D50" s="44"/>
      <c r="E50" s="45"/>
      <c r="F50" s="46"/>
      <c r="G50" s="47"/>
      <c r="H50" s="535"/>
      <c r="I50" s="229"/>
      <c r="J50" s="560">
        <f t="shared" si="6"/>
        <v>0</v>
      </c>
      <c r="K50" s="560"/>
      <c r="L50" s="528"/>
      <c r="M50" s="528"/>
    </row>
    <row r="51" spans="1:13" s="42" customFormat="1" ht="20.100000000000001" customHeight="1">
      <c r="A51" s="271">
        <f>A49+1</f>
        <v>9</v>
      </c>
      <c r="B51" s="272" t="s">
        <v>37</v>
      </c>
      <c r="C51" s="273"/>
      <c r="D51" s="274">
        <v>65.354914000000008</v>
      </c>
      <c r="E51" s="45" t="s">
        <v>38</v>
      </c>
      <c r="F51" s="46">
        <f>F46</f>
        <v>50000</v>
      </c>
      <c r="G51" s="275">
        <f>D51*F51</f>
        <v>3267745.7</v>
      </c>
      <c r="H51" s="535"/>
      <c r="I51" s="229">
        <v>68612.5</v>
      </c>
      <c r="J51" s="560">
        <f t="shared" si="6"/>
        <v>4484164.0368250003</v>
      </c>
      <c r="K51" s="560">
        <f t="shared" si="2"/>
        <v>72.873018764802339</v>
      </c>
      <c r="L51" s="528"/>
      <c r="M51" s="528"/>
    </row>
    <row r="52" spans="1:13" s="42" customFormat="1" ht="20.100000000000001" customHeight="1">
      <c r="A52" s="271">
        <f>A51+1</f>
        <v>10</v>
      </c>
      <c r="B52" s="272" t="s">
        <v>39</v>
      </c>
      <c r="C52" s="273"/>
      <c r="D52" s="274">
        <v>282.27</v>
      </c>
      <c r="E52" s="45" t="s">
        <v>40</v>
      </c>
      <c r="F52" s="46">
        <f t="shared" ref="F52:F54" si="10">F47</f>
        <v>10000</v>
      </c>
      <c r="G52" s="275">
        <f t="shared" ref="G52:G54" si="11">D52*F52</f>
        <v>2822700</v>
      </c>
      <c r="H52" s="535"/>
      <c r="I52" s="229">
        <v>10839.583333333334</v>
      </c>
      <c r="J52" s="560">
        <f t="shared" si="6"/>
        <v>3059689.1875</v>
      </c>
      <c r="K52" s="560">
        <f t="shared" si="2"/>
        <v>92.254468575821633</v>
      </c>
      <c r="L52" s="528"/>
      <c r="M52" s="528"/>
    </row>
    <row r="53" spans="1:13" s="42" customFormat="1" ht="20.100000000000001" customHeight="1">
      <c r="A53" s="271">
        <f>A52+1</f>
        <v>11</v>
      </c>
      <c r="B53" s="272" t="s">
        <v>41</v>
      </c>
      <c r="C53" s="273"/>
      <c r="D53" s="274">
        <v>282.27</v>
      </c>
      <c r="E53" s="45" t="s">
        <v>38</v>
      </c>
      <c r="F53" s="46">
        <f t="shared" si="10"/>
        <v>667000</v>
      </c>
      <c r="G53" s="275">
        <f t="shared" si="11"/>
        <v>188274090</v>
      </c>
      <c r="H53" s="535"/>
      <c r="I53" s="229">
        <v>882413.81250000012</v>
      </c>
      <c r="J53" s="560">
        <f t="shared" si="6"/>
        <v>249078946.854375</v>
      </c>
      <c r="K53" s="560">
        <f t="shared" si="2"/>
        <v>75.588118697994645</v>
      </c>
      <c r="L53" s="528"/>
      <c r="M53" s="528"/>
    </row>
    <row r="54" spans="1:13" s="42" customFormat="1" ht="20.100000000000001" customHeight="1">
      <c r="A54" s="271">
        <f>A53+1</f>
        <v>12</v>
      </c>
      <c r="B54" s="272" t="s">
        <v>42</v>
      </c>
      <c r="C54" s="273"/>
      <c r="D54" s="274">
        <v>78.425896800000004</v>
      </c>
      <c r="E54" s="45" t="s">
        <v>38</v>
      </c>
      <c r="F54" s="46">
        <f t="shared" si="10"/>
        <v>50000</v>
      </c>
      <c r="G54" s="275">
        <f t="shared" si="11"/>
        <v>3921294.8400000003</v>
      </c>
      <c r="H54" s="535"/>
      <c r="I54" s="229">
        <v>28909.375000000004</v>
      </c>
      <c r="J54" s="560">
        <f t="shared" si="6"/>
        <v>2267243.6603025002</v>
      </c>
      <c r="K54" s="560">
        <f t="shared" si="2"/>
        <v>172.9542752134904</v>
      </c>
      <c r="L54" s="528"/>
      <c r="M54" s="528"/>
    </row>
    <row r="55" spans="1:13" s="42" customFormat="1" ht="20.100000000000001" customHeight="1">
      <c r="A55" s="43"/>
      <c r="B55" s="178" t="s">
        <v>45</v>
      </c>
      <c r="C55" s="178"/>
      <c r="D55" s="44"/>
      <c r="E55" s="45"/>
      <c r="F55" s="46"/>
      <c r="G55" s="47"/>
      <c r="H55" s="535"/>
      <c r="I55" s="229"/>
      <c r="J55" s="560">
        <f t="shared" si="6"/>
        <v>0</v>
      </c>
      <c r="K55" s="560"/>
      <c r="L55" s="528"/>
      <c r="M55" s="528"/>
    </row>
    <row r="56" spans="1:13" s="42" customFormat="1" ht="20.100000000000001" customHeight="1">
      <c r="A56" s="271">
        <f>A54+1</f>
        <v>13</v>
      </c>
      <c r="B56" s="272" t="s">
        <v>37</v>
      </c>
      <c r="C56" s="273"/>
      <c r="D56" s="274">
        <v>108.76911599999998</v>
      </c>
      <c r="E56" s="45" t="s">
        <v>38</v>
      </c>
      <c r="F56" s="46">
        <f>F51</f>
        <v>50000</v>
      </c>
      <c r="G56" s="275">
        <f>D56*F56</f>
        <v>5438455.7999999989</v>
      </c>
      <c r="H56" s="535"/>
      <c r="I56" s="229">
        <v>68612.5</v>
      </c>
      <c r="J56" s="560">
        <f t="shared" si="6"/>
        <v>7462920.971549999</v>
      </c>
      <c r="K56" s="560">
        <f t="shared" si="2"/>
        <v>72.873018764802339</v>
      </c>
      <c r="L56" s="528"/>
      <c r="M56" s="528"/>
    </row>
    <row r="57" spans="1:13" s="42" customFormat="1" ht="20.100000000000001" customHeight="1">
      <c r="A57" s="271">
        <f>A56+1</f>
        <v>14</v>
      </c>
      <c r="B57" s="272" t="s">
        <v>39</v>
      </c>
      <c r="C57" s="273"/>
      <c r="D57" s="274">
        <v>245.88</v>
      </c>
      <c r="E57" s="45" t="s">
        <v>40</v>
      </c>
      <c r="F57" s="46">
        <f t="shared" ref="F57:F59" si="12">F52</f>
        <v>10000</v>
      </c>
      <c r="G57" s="275">
        <f t="shared" ref="G57:G59" si="13">D57*F57</f>
        <v>2458800</v>
      </c>
      <c r="H57" s="535"/>
      <c r="I57" s="229">
        <v>10839.583333333334</v>
      </c>
      <c r="J57" s="560">
        <f t="shared" si="6"/>
        <v>2665236.75</v>
      </c>
      <c r="K57" s="560">
        <f t="shared" si="2"/>
        <v>92.254468575821633</v>
      </c>
      <c r="L57" s="528"/>
      <c r="M57" s="528"/>
    </row>
    <row r="58" spans="1:13" s="42" customFormat="1" ht="20.100000000000001" customHeight="1">
      <c r="A58" s="271">
        <f>A57+1</f>
        <v>15</v>
      </c>
      <c r="B58" s="272" t="s">
        <v>41</v>
      </c>
      <c r="C58" s="273"/>
      <c r="D58" s="274">
        <v>245.88</v>
      </c>
      <c r="E58" s="45" t="s">
        <v>38</v>
      </c>
      <c r="F58" s="46">
        <f t="shared" si="12"/>
        <v>667000</v>
      </c>
      <c r="G58" s="275">
        <f t="shared" si="13"/>
        <v>164001960</v>
      </c>
      <c r="H58" s="535"/>
      <c r="I58" s="229">
        <v>882413.81250000012</v>
      </c>
      <c r="J58" s="560">
        <f t="shared" si="6"/>
        <v>216967908.21750003</v>
      </c>
      <c r="K58" s="560">
        <f t="shared" si="2"/>
        <v>75.588118697994645</v>
      </c>
      <c r="L58" s="528"/>
      <c r="M58" s="528"/>
    </row>
    <row r="59" spans="1:13" s="42" customFormat="1" ht="20.100000000000001" customHeight="1">
      <c r="A59" s="271">
        <f>A58+1</f>
        <v>16</v>
      </c>
      <c r="B59" s="272" t="s">
        <v>42</v>
      </c>
      <c r="C59" s="273"/>
      <c r="D59" s="274">
        <v>130.52293919999997</v>
      </c>
      <c r="E59" s="45" t="s">
        <v>38</v>
      </c>
      <c r="F59" s="46">
        <f t="shared" si="12"/>
        <v>50000</v>
      </c>
      <c r="G59" s="275">
        <f t="shared" si="13"/>
        <v>6526146.9599999981</v>
      </c>
      <c r="H59" s="535"/>
      <c r="I59" s="229">
        <v>28909.375000000004</v>
      </c>
      <c r="J59" s="560">
        <f t="shared" si="6"/>
        <v>3773336.5954349996</v>
      </c>
      <c r="K59" s="560">
        <f t="shared" si="2"/>
        <v>172.9542752134904</v>
      </c>
      <c r="L59" s="528"/>
      <c r="M59" s="528"/>
    </row>
    <row r="60" spans="1:13" s="42" customFormat="1" ht="20.100000000000001" customHeight="1">
      <c r="A60" s="43"/>
      <c r="B60" s="178" t="s">
        <v>46</v>
      </c>
      <c r="C60" s="178"/>
      <c r="D60" s="44"/>
      <c r="E60" s="45"/>
      <c r="F60" s="46"/>
      <c r="G60" s="47"/>
      <c r="H60" s="535"/>
      <c r="I60" s="229"/>
      <c r="J60" s="560">
        <f t="shared" si="6"/>
        <v>0</v>
      </c>
      <c r="K60" s="560"/>
      <c r="L60" s="528"/>
      <c r="M60" s="528"/>
    </row>
    <row r="61" spans="1:13" s="42" customFormat="1" ht="20.100000000000001" customHeight="1">
      <c r="A61" s="271">
        <f>A59+1</f>
        <v>17</v>
      </c>
      <c r="B61" s="272" t="s">
        <v>37</v>
      </c>
      <c r="C61" s="273"/>
      <c r="D61" s="274">
        <v>125.61043699999999</v>
      </c>
      <c r="E61" s="45" t="s">
        <v>38</v>
      </c>
      <c r="F61" s="46">
        <f>F56</f>
        <v>50000</v>
      </c>
      <c r="G61" s="275">
        <f>D61*F61</f>
        <v>6280521.8499999996</v>
      </c>
      <c r="H61" s="535"/>
      <c r="I61" s="229">
        <v>68612.5</v>
      </c>
      <c r="J61" s="560">
        <f t="shared" si="6"/>
        <v>8618446.1086624991</v>
      </c>
      <c r="K61" s="560">
        <f t="shared" si="2"/>
        <v>72.873018764802339</v>
      </c>
      <c r="L61" s="528"/>
      <c r="M61" s="528"/>
    </row>
    <row r="62" spans="1:13" s="42" customFormat="1" ht="20.100000000000001" customHeight="1">
      <c r="A62" s="271">
        <f>A61+1</f>
        <v>18</v>
      </c>
      <c r="B62" s="272" t="s">
        <v>39</v>
      </c>
      <c r="C62" s="273"/>
      <c r="D62" s="274">
        <v>226.23</v>
      </c>
      <c r="E62" s="45" t="s">
        <v>40</v>
      </c>
      <c r="F62" s="46">
        <f t="shared" ref="F62:F64" si="14">F57</f>
        <v>10000</v>
      </c>
      <c r="G62" s="275">
        <f t="shared" ref="G62:G64" si="15">D62*F62</f>
        <v>2262300</v>
      </c>
      <c r="H62" s="535"/>
      <c r="I62" s="229">
        <v>10839.583333333334</v>
      </c>
      <c r="J62" s="560">
        <f t="shared" si="6"/>
        <v>2452238.9375</v>
      </c>
      <c r="K62" s="560">
        <f t="shared" si="2"/>
        <v>92.254468575821633</v>
      </c>
      <c r="L62" s="528"/>
      <c r="M62" s="528"/>
    </row>
    <row r="63" spans="1:13" s="42" customFormat="1" ht="20.100000000000001" customHeight="1">
      <c r="A63" s="271">
        <f>A62+1</f>
        <v>19</v>
      </c>
      <c r="B63" s="272" t="s">
        <v>41</v>
      </c>
      <c r="C63" s="273"/>
      <c r="D63" s="274">
        <v>226.23</v>
      </c>
      <c r="E63" s="45" t="s">
        <v>38</v>
      </c>
      <c r="F63" s="46">
        <f t="shared" si="14"/>
        <v>667000</v>
      </c>
      <c r="G63" s="275">
        <f t="shared" si="15"/>
        <v>150895410</v>
      </c>
      <c r="H63" s="535"/>
      <c r="I63" s="229">
        <v>882413.81250000012</v>
      </c>
      <c r="J63" s="560">
        <f t="shared" si="6"/>
        <v>199628476.80187503</v>
      </c>
      <c r="K63" s="560">
        <f t="shared" si="2"/>
        <v>75.588118697994645</v>
      </c>
      <c r="L63" s="528"/>
      <c r="M63" s="528"/>
    </row>
    <row r="64" spans="1:13" s="42" customFormat="1" ht="20.100000000000001" customHeight="1">
      <c r="A64" s="271">
        <f>A63+1</f>
        <v>20</v>
      </c>
      <c r="B64" s="272" t="s">
        <v>42</v>
      </c>
      <c r="C64" s="273"/>
      <c r="D64" s="274">
        <v>150.73252439999999</v>
      </c>
      <c r="E64" s="45" t="s">
        <v>38</v>
      </c>
      <c r="F64" s="46">
        <f t="shared" si="14"/>
        <v>50000</v>
      </c>
      <c r="G64" s="275">
        <f t="shared" si="15"/>
        <v>7536626.2199999997</v>
      </c>
      <c r="H64" s="535"/>
      <c r="I64" s="229">
        <v>28909.375000000004</v>
      </c>
      <c r="J64" s="560">
        <f t="shared" si="6"/>
        <v>4357583.0725762499</v>
      </c>
      <c r="K64" s="560">
        <f t="shared" si="2"/>
        <v>172.9542752134904</v>
      </c>
      <c r="L64" s="528"/>
      <c r="M64" s="528"/>
    </row>
    <row r="65" spans="1:13" s="42" customFormat="1" ht="20.100000000000001" customHeight="1">
      <c r="A65" s="43"/>
      <c r="B65" s="178" t="s">
        <v>47</v>
      </c>
      <c r="C65" s="178"/>
      <c r="D65" s="44"/>
      <c r="E65" s="45"/>
      <c r="F65" s="46"/>
      <c r="G65" s="47"/>
      <c r="H65" s="535"/>
      <c r="I65" s="229"/>
      <c r="J65" s="560">
        <f t="shared" si="6"/>
        <v>0</v>
      </c>
      <c r="K65" s="560"/>
      <c r="L65" s="528"/>
      <c r="M65" s="528"/>
    </row>
    <row r="66" spans="1:13" s="42" customFormat="1" ht="20.100000000000001" customHeight="1">
      <c r="A66" s="271">
        <f>A64+1</f>
        <v>21</v>
      </c>
      <c r="B66" s="272" t="s">
        <v>37</v>
      </c>
      <c r="C66" s="273"/>
      <c r="D66" s="274">
        <v>58.626072000000001</v>
      </c>
      <c r="E66" s="45" t="s">
        <v>38</v>
      </c>
      <c r="F66" s="46">
        <f>F61</f>
        <v>50000</v>
      </c>
      <c r="G66" s="275">
        <f>D66*F66</f>
        <v>2931303.6</v>
      </c>
      <c r="H66" s="535"/>
      <c r="I66" s="229">
        <v>68612.5</v>
      </c>
      <c r="J66" s="560">
        <f t="shared" si="6"/>
        <v>4022481.3651000001</v>
      </c>
      <c r="K66" s="560">
        <f t="shared" si="2"/>
        <v>72.873018764802339</v>
      </c>
      <c r="L66" s="528"/>
      <c r="M66" s="528"/>
    </row>
    <row r="67" spans="1:13" s="42" customFormat="1" ht="20.100000000000001" customHeight="1">
      <c r="A67" s="271">
        <f>A66+1</f>
        <v>22</v>
      </c>
      <c r="B67" s="272" t="s">
        <v>39</v>
      </c>
      <c r="C67" s="273"/>
      <c r="D67" s="274">
        <v>217.07999999999998</v>
      </c>
      <c r="E67" s="45" t="s">
        <v>40</v>
      </c>
      <c r="F67" s="46">
        <f t="shared" ref="F67:F69" si="16">F62</f>
        <v>10000</v>
      </c>
      <c r="G67" s="275">
        <f t="shared" ref="G67:G69" si="17">D67*F67</f>
        <v>2170800</v>
      </c>
      <c r="H67" s="535"/>
      <c r="I67" s="229">
        <v>10839.583333333334</v>
      </c>
      <c r="J67" s="560">
        <f t="shared" si="6"/>
        <v>2353056.75</v>
      </c>
      <c r="K67" s="560">
        <f t="shared" si="2"/>
        <v>92.254468575821633</v>
      </c>
      <c r="L67" s="528"/>
      <c r="M67" s="528"/>
    </row>
    <row r="68" spans="1:13" s="42" customFormat="1" ht="20.100000000000001" customHeight="1">
      <c r="A68" s="271">
        <f>A67+1</f>
        <v>23</v>
      </c>
      <c r="B68" s="272" t="s">
        <v>41</v>
      </c>
      <c r="C68" s="273"/>
      <c r="D68" s="274">
        <v>217.07999999999998</v>
      </c>
      <c r="E68" s="45" t="s">
        <v>38</v>
      </c>
      <c r="F68" s="46">
        <f t="shared" si="16"/>
        <v>667000</v>
      </c>
      <c r="G68" s="275">
        <f t="shared" si="17"/>
        <v>144792360</v>
      </c>
      <c r="H68" s="535"/>
      <c r="I68" s="229">
        <v>882413.81250000012</v>
      </c>
      <c r="J68" s="560">
        <f t="shared" si="6"/>
        <v>191554390.41750002</v>
      </c>
      <c r="K68" s="560">
        <f t="shared" si="2"/>
        <v>75.588118697994645</v>
      </c>
      <c r="L68" s="528"/>
      <c r="M68" s="528"/>
    </row>
    <row r="69" spans="1:13" s="42" customFormat="1" ht="20.100000000000001" customHeight="1">
      <c r="A69" s="271">
        <f>A68+1</f>
        <v>24</v>
      </c>
      <c r="B69" s="272" t="s">
        <v>42</v>
      </c>
      <c r="C69" s="273"/>
      <c r="D69" s="274">
        <v>70.351286399999992</v>
      </c>
      <c r="E69" s="45" t="s">
        <v>38</v>
      </c>
      <c r="F69" s="46">
        <f t="shared" si="16"/>
        <v>50000</v>
      </c>
      <c r="G69" s="275">
        <f t="shared" si="17"/>
        <v>3517564.32</v>
      </c>
      <c r="H69" s="535"/>
      <c r="I69" s="229">
        <v>28909.375000000004</v>
      </c>
      <c r="J69" s="560">
        <f t="shared" si="6"/>
        <v>2033811.7202699999</v>
      </c>
      <c r="K69" s="560">
        <f t="shared" si="2"/>
        <v>172.9542752134904</v>
      </c>
      <c r="L69" s="528"/>
      <c r="M69" s="528"/>
    </row>
    <row r="70" spans="1:13" s="42" customFormat="1" ht="20.100000000000001" customHeight="1">
      <c r="A70" s="48"/>
      <c r="B70" s="172"/>
      <c r="C70" s="172"/>
      <c r="D70" s="49"/>
      <c r="E70" s="50"/>
      <c r="F70" s="51"/>
      <c r="G70" s="52"/>
      <c r="H70" s="535"/>
      <c r="I70" s="51"/>
      <c r="J70" s="564"/>
      <c r="K70" s="560"/>
      <c r="L70" s="528"/>
      <c r="M70" s="528"/>
    </row>
    <row r="71" spans="1:13" s="42" customFormat="1" ht="20.100000000000001" customHeight="1">
      <c r="A71" s="53" t="s">
        <v>48</v>
      </c>
      <c r="B71" s="173" t="s">
        <v>251</v>
      </c>
      <c r="C71" s="174"/>
      <c r="D71" s="54"/>
      <c r="E71" s="55"/>
      <c r="F71" s="56"/>
      <c r="G71" s="57">
        <f>SUM(G72:G91)</f>
        <v>359249170.5</v>
      </c>
      <c r="H71" s="535"/>
      <c r="I71" s="56"/>
      <c r="J71" s="565"/>
      <c r="K71" s="560"/>
      <c r="L71" s="528"/>
      <c r="M71" s="528"/>
    </row>
    <row r="72" spans="1:13" s="42" customFormat="1" ht="20.100000000000001" customHeight="1">
      <c r="A72" s="43"/>
      <c r="B72" s="276" t="s">
        <v>135</v>
      </c>
      <c r="C72" s="184"/>
      <c r="D72" s="64"/>
      <c r="E72" s="65"/>
      <c r="F72" s="277"/>
      <c r="G72" s="47"/>
      <c r="H72" s="535"/>
      <c r="I72" s="539"/>
      <c r="J72" s="566"/>
      <c r="K72" s="560"/>
      <c r="L72" s="528"/>
      <c r="M72" s="528"/>
    </row>
    <row r="73" spans="1:13" s="42" customFormat="1" ht="20.100000000000001" customHeight="1">
      <c r="A73" s="66">
        <v>1</v>
      </c>
      <c r="B73" s="278" t="s">
        <v>19</v>
      </c>
      <c r="C73" s="184"/>
      <c r="D73" s="64">
        <v>297.80459999999999</v>
      </c>
      <c r="E73" s="45" t="s">
        <v>38</v>
      </c>
      <c r="F73" s="279">
        <f>F66</f>
        <v>50000</v>
      </c>
      <c r="G73" s="67">
        <f>D73*F73</f>
        <v>14890230</v>
      </c>
      <c r="H73" s="535"/>
      <c r="I73" s="540">
        <v>68612.5</v>
      </c>
      <c r="J73" s="560">
        <f t="shared" ref="J73:J91" si="18">D73*I73</f>
        <v>20433118.1175</v>
      </c>
      <c r="K73" s="560">
        <f t="shared" si="2"/>
        <v>72.873018764802339</v>
      </c>
      <c r="L73" s="528"/>
      <c r="M73" s="528"/>
    </row>
    <row r="74" spans="1:13" s="42" customFormat="1" ht="20.100000000000001" customHeight="1">
      <c r="A74" s="66">
        <f>A73+1</f>
        <v>2</v>
      </c>
      <c r="B74" s="272" t="s">
        <v>10</v>
      </c>
      <c r="C74" s="273"/>
      <c r="D74" s="64">
        <v>8.2723500000000012</v>
      </c>
      <c r="E74" s="45" t="s">
        <v>38</v>
      </c>
      <c r="F74" s="46">
        <v>350000</v>
      </c>
      <c r="G74" s="67">
        <f t="shared" ref="G74:G81" si="19">D74*F74</f>
        <v>2895322.5000000005</v>
      </c>
      <c r="H74" s="535"/>
      <c r="I74" s="229">
        <v>257207.50000000003</v>
      </c>
      <c r="J74" s="560">
        <f t="shared" si="18"/>
        <v>2127710.4626250006</v>
      </c>
      <c r="K74" s="575">
        <f t="shared" si="2"/>
        <v>136.07690288969022</v>
      </c>
      <c r="L74" s="528"/>
      <c r="M74" s="528"/>
    </row>
    <row r="75" spans="1:13" s="42" customFormat="1" ht="20.100000000000001" customHeight="1">
      <c r="A75" s="66">
        <f t="shared" ref="A75:A81" si="20">A74+1</f>
        <v>3</v>
      </c>
      <c r="B75" s="272" t="s">
        <v>50</v>
      </c>
      <c r="C75" s="273"/>
      <c r="D75" s="274">
        <v>140.96414999999999</v>
      </c>
      <c r="E75" s="45" t="s">
        <v>38</v>
      </c>
      <c r="F75" s="46">
        <v>900000</v>
      </c>
      <c r="G75" s="67">
        <f t="shared" si="19"/>
        <v>126867734.99999999</v>
      </c>
      <c r="H75" s="535"/>
      <c r="I75" s="229">
        <v>1120599.7000000002</v>
      </c>
      <c r="J75" s="560">
        <f t="shared" si="18"/>
        <v>157964384.200755</v>
      </c>
      <c r="K75" s="560">
        <f t="shared" si="2"/>
        <v>80.314138938284557</v>
      </c>
      <c r="L75" s="528"/>
      <c r="M75" s="528"/>
    </row>
    <row r="76" spans="1:13" s="42" customFormat="1" ht="20.100000000000001" customHeight="1">
      <c r="A76" s="66">
        <f t="shared" si="20"/>
        <v>4</v>
      </c>
      <c r="B76" s="280" t="s">
        <v>136</v>
      </c>
      <c r="C76" s="281"/>
      <c r="D76" s="282">
        <v>0.36</v>
      </c>
      <c r="E76" s="81" t="s">
        <v>70</v>
      </c>
      <c r="F76" s="283">
        <v>6000000</v>
      </c>
      <c r="G76" s="67">
        <f t="shared" si="19"/>
        <v>2160000</v>
      </c>
      <c r="H76" s="535"/>
      <c r="I76" s="541">
        <v>5067077.083333334</v>
      </c>
      <c r="J76" s="560">
        <f t="shared" si="18"/>
        <v>1824147.7500000002</v>
      </c>
      <c r="K76" s="575">
        <f t="shared" si="2"/>
        <v>118.41146091373353</v>
      </c>
      <c r="L76" s="528"/>
      <c r="M76" s="528"/>
    </row>
    <row r="77" spans="1:13" s="42" customFormat="1" ht="20.100000000000001" customHeight="1">
      <c r="A77" s="284">
        <f>A76+1</f>
        <v>5</v>
      </c>
      <c r="B77" s="280" t="s">
        <v>137</v>
      </c>
      <c r="C77" s="281"/>
      <c r="D77" s="282">
        <v>7.0043999999999995</v>
      </c>
      <c r="E77" s="81" t="s">
        <v>70</v>
      </c>
      <c r="F77" s="283">
        <v>3500000</v>
      </c>
      <c r="G77" s="67">
        <f t="shared" si="19"/>
        <v>24515400</v>
      </c>
      <c r="H77" s="535"/>
      <c r="I77" s="541">
        <v>2473894.5462962966</v>
      </c>
      <c r="J77" s="560">
        <f t="shared" si="18"/>
        <v>17328146.960077778</v>
      </c>
      <c r="K77" s="575">
        <f t="shared" si="2"/>
        <v>141.47733197600928</v>
      </c>
      <c r="L77" s="528"/>
      <c r="M77" s="528"/>
    </row>
    <row r="78" spans="1:13" s="42" customFormat="1" ht="20.100000000000001" customHeight="1">
      <c r="A78" s="284">
        <f t="shared" si="20"/>
        <v>6</v>
      </c>
      <c r="B78" s="280" t="s">
        <v>138</v>
      </c>
      <c r="C78" s="281"/>
      <c r="D78" s="282">
        <v>2.0499200000000002</v>
      </c>
      <c r="E78" s="81" t="s">
        <v>70</v>
      </c>
      <c r="F78" s="283">
        <v>5000000</v>
      </c>
      <c r="G78" s="67">
        <f t="shared" si="19"/>
        <v>10249600.000000002</v>
      </c>
      <c r="H78" s="535"/>
      <c r="I78" s="541">
        <v>3111394.5462962966</v>
      </c>
      <c r="J78" s="560">
        <f t="shared" si="18"/>
        <v>6378109.9083437053</v>
      </c>
      <c r="K78" s="575">
        <f t="shared" ref="K78:K141" si="21">F78/I78*100</f>
        <v>160.69964530701637</v>
      </c>
      <c r="L78" s="528"/>
      <c r="M78" s="528"/>
    </row>
    <row r="79" spans="1:13" s="42" customFormat="1" ht="20.100000000000001" customHeight="1">
      <c r="A79" s="285">
        <f t="shared" si="20"/>
        <v>7</v>
      </c>
      <c r="B79" s="272" t="s">
        <v>116</v>
      </c>
      <c r="C79" s="273"/>
      <c r="D79" s="274">
        <v>261.38439999999997</v>
      </c>
      <c r="E79" s="45" t="s">
        <v>40</v>
      </c>
      <c r="F79" s="46">
        <v>60000</v>
      </c>
      <c r="G79" s="67">
        <f t="shared" si="19"/>
        <v>15683063.999999998</v>
      </c>
      <c r="H79" s="535"/>
      <c r="I79" s="46">
        <v>111088.2828</v>
      </c>
      <c r="J79" s="560">
        <f t="shared" si="18"/>
        <v>29036744.146708317</v>
      </c>
      <c r="K79" s="576">
        <f t="shared" si="21"/>
        <v>54.011096839098862</v>
      </c>
      <c r="L79" s="528"/>
      <c r="M79" s="528"/>
    </row>
    <row r="80" spans="1:13" s="42" customFormat="1" ht="20.100000000000001" customHeight="1">
      <c r="A80" s="284">
        <f t="shared" si="20"/>
        <v>8</v>
      </c>
      <c r="B80" s="286" t="s">
        <v>94</v>
      </c>
      <c r="C80" s="281"/>
      <c r="D80" s="282">
        <v>261.38439999999997</v>
      </c>
      <c r="E80" s="81" t="s">
        <v>40</v>
      </c>
      <c r="F80" s="287">
        <v>40000</v>
      </c>
      <c r="G80" s="67">
        <f t="shared" si="19"/>
        <v>10455375.999999998</v>
      </c>
      <c r="H80" s="535"/>
      <c r="I80" s="542">
        <v>45665.675000000003</v>
      </c>
      <c r="J80" s="560">
        <f t="shared" si="18"/>
        <v>11936295.06047</v>
      </c>
      <c r="K80" s="560">
        <f t="shared" si="21"/>
        <v>87.5931429897839</v>
      </c>
      <c r="L80" s="528"/>
      <c r="M80" s="528"/>
    </row>
    <row r="81" spans="1:13" s="42" customFormat="1" ht="20.100000000000001" customHeight="1">
      <c r="A81" s="271">
        <f t="shared" si="20"/>
        <v>9</v>
      </c>
      <c r="B81" s="272" t="s">
        <v>139</v>
      </c>
      <c r="C81" s="273"/>
      <c r="D81" s="274">
        <v>297.80459999999999</v>
      </c>
      <c r="E81" s="45" t="s">
        <v>38</v>
      </c>
      <c r="F81" s="46">
        <v>35000</v>
      </c>
      <c r="G81" s="67">
        <f t="shared" si="19"/>
        <v>10423161</v>
      </c>
      <c r="H81" s="535"/>
      <c r="I81" s="46">
        <v>26381.666666666668</v>
      </c>
      <c r="J81" s="560">
        <f t="shared" si="18"/>
        <v>7856581.6890000002</v>
      </c>
      <c r="K81" s="575">
        <f t="shared" si="21"/>
        <v>132.66788805357254</v>
      </c>
      <c r="L81" s="528"/>
      <c r="M81" s="528"/>
    </row>
    <row r="82" spans="1:13" s="42" customFormat="1" ht="20.100000000000001" customHeight="1">
      <c r="A82" s="43"/>
      <c r="B82" s="276" t="s">
        <v>140</v>
      </c>
      <c r="C82" s="184"/>
      <c r="D82" s="64"/>
      <c r="E82" s="65"/>
      <c r="F82" s="277"/>
      <c r="G82" s="47"/>
      <c r="H82" s="535"/>
      <c r="I82" s="277"/>
      <c r="J82" s="560">
        <f t="shared" si="18"/>
        <v>0</v>
      </c>
      <c r="K82" s="560"/>
      <c r="L82" s="528"/>
      <c r="M82" s="528"/>
    </row>
    <row r="83" spans="1:13" s="42" customFormat="1" ht="20.100000000000001" customHeight="1">
      <c r="A83" s="66">
        <f>1+A81</f>
        <v>10</v>
      </c>
      <c r="B83" s="278" t="s">
        <v>19</v>
      </c>
      <c r="C83" s="184"/>
      <c r="D83" s="64">
        <v>152.86320000000001</v>
      </c>
      <c r="E83" s="45" t="s">
        <v>38</v>
      </c>
      <c r="F83" s="283">
        <f>F73</f>
        <v>50000</v>
      </c>
      <c r="G83" s="67">
        <f>D83*F83</f>
        <v>7643160</v>
      </c>
      <c r="H83" s="535"/>
      <c r="I83" s="541">
        <v>68612.5</v>
      </c>
      <c r="J83" s="560">
        <f t="shared" si="18"/>
        <v>10488326.310000001</v>
      </c>
      <c r="K83" s="560">
        <f t="shared" si="21"/>
        <v>72.873018764802339</v>
      </c>
      <c r="L83" s="528"/>
      <c r="M83" s="528"/>
    </row>
    <row r="84" spans="1:13" s="42" customFormat="1" ht="20.100000000000001" customHeight="1">
      <c r="A84" s="66">
        <f>A83+1</f>
        <v>11</v>
      </c>
      <c r="B84" s="272" t="s">
        <v>10</v>
      </c>
      <c r="C84" s="273"/>
      <c r="D84" s="64">
        <v>6.3693</v>
      </c>
      <c r="E84" s="45" t="s">
        <v>38</v>
      </c>
      <c r="F84" s="283">
        <f t="shared" ref="F84:F91" si="22">F74</f>
        <v>350000</v>
      </c>
      <c r="G84" s="67">
        <f t="shared" ref="G84:G91" si="23">D84*F84</f>
        <v>2229255</v>
      </c>
      <c r="H84" s="535"/>
      <c r="I84" s="541">
        <v>257207.50000000003</v>
      </c>
      <c r="J84" s="560">
        <f t="shared" si="18"/>
        <v>1638231.7297500002</v>
      </c>
      <c r="K84" s="575">
        <f t="shared" si="21"/>
        <v>136.07690288969022</v>
      </c>
      <c r="L84" s="528"/>
      <c r="M84" s="528"/>
    </row>
    <row r="85" spans="1:13" s="42" customFormat="1" ht="20.100000000000001" customHeight="1">
      <c r="A85" s="66">
        <f t="shared" ref="A85:A91" si="24">A84+1</f>
        <v>12</v>
      </c>
      <c r="B85" s="272" t="s">
        <v>50</v>
      </c>
      <c r="C85" s="273"/>
      <c r="D85" s="274">
        <v>89.648950000000013</v>
      </c>
      <c r="E85" s="45" t="s">
        <v>38</v>
      </c>
      <c r="F85" s="283">
        <f t="shared" si="22"/>
        <v>900000</v>
      </c>
      <c r="G85" s="67">
        <f t="shared" si="23"/>
        <v>80684055.000000015</v>
      </c>
      <c r="H85" s="535"/>
      <c r="I85" s="541">
        <v>1120599.7000000002</v>
      </c>
      <c r="J85" s="560">
        <f t="shared" si="18"/>
        <v>100460586.47531503</v>
      </c>
      <c r="K85" s="560">
        <f t="shared" si="21"/>
        <v>80.314138938284557</v>
      </c>
      <c r="L85" s="528"/>
      <c r="M85" s="528"/>
    </row>
    <row r="86" spans="1:13" s="42" customFormat="1" ht="20.100000000000001" customHeight="1">
      <c r="A86" s="66">
        <f t="shared" si="24"/>
        <v>13</v>
      </c>
      <c r="B86" s="280" t="s">
        <v>136</v>
      </c>
      <c r="C86" s="281"/>
      <c r="D86" s="282">
        <v>0.315</v>
      </c>
      <c r="E86" s="81" t="s">
        <v>70</v>
      </c>
      <c r="F86" s="283">
        <f t="shared" si="22"/>
        <v>6000000</v>
      </c>
      <c r="G86" s="67">
        <f t="shared" si="23"/>
        <v>1890000</v>
      </c>
      <c r="H86" s="535"/>
      <c r="I86" s="541">
        <v>5067077.083333334</v>
      </c>
      <c r="J86" s="560">
        <f t="shared" si="18"/>
        <v>1596129.2812500002</v>
      </c>
      <c r="K86" s="575">
        <f t="shared" si="21"/>
        <v>118.41146091373353</v>
      </c>
      <c r="L86" s="528"/>
      <c r="M86" s="528"/>
    </row>
    <row r="87" spans="1:13" s="42" customFormat="1" ht="20.100000000000001" customHeight="1">
      <c r="A87" s="284">
        <f>A86+1</f>
        <v>14</v>
      </c>
      <c r="B87" s="280" t="s">
        <v>137</v>
      </c>
      <c r="C87" s="281"/>
      <c r="D87" s="282">
        <v>5.0624000000000002</v>
      </c>
      <c r="E87" s="81" t="s">
        <v>70</v>
      </c>
      <c r="F87" s="283">
        <f t="shared" si="22"/>
        <v>3500000</v>
      </c>
      <c r="G87" s="67">
        <f t="shared" si="23"/>
        <v>17718400</v>
      </c>
      <c r="H87" s="535"/>
      <c r="I87" s="541">
        <v>2473894.5462962966</v>
      </c>
      <c r="J87" s="560">
        <f t="shared" si="18"/>
        <v>12523843.751170373</v>
      </c>
      <c r="K87" s="575">
        <f t="shared" si="21"/>
        <v>141.47733197600928</v>
      </c>
      <c r="L87" s="528"/>
      <c r="M87" s="528"/>
    </row>
    <row r="88" spans="1:13" s="42" customFormat="1" ht="20.100000000000001" customHeight="1">
      <c r="A88" s="284">
        <f t="shared" si="24"/>
        <v>15</v>
      </c>
      <c r="B88" s="280" t="s">
        <v>138</v>
      </c>
      <c r="C88" s="281"/>
      <c r="D88" s="282">
        <v>0.54780000000000006</v>
      </c>
      <c r="E88" s="81" t="s">
        <v>70</v>
      </c>
      <c r="F88" s="283">
        <f t="shared" si="22"/>
        <v>5000000</v>
      </c>
      <c r="G88" s="67">
        <f t="shared" si="23"/>
        <v>2739000.0000000005</v>
      </c>
      <c r="H88" s="535"/>
      <c r="I88" s="541">
        <v>3111394.5462962966</v>
      </c>
      <c r="J88" s="560">
        <f t="shared" si="18"/>
        <v>1704421.9324611116</v>
      </c>
      <c r="K88" s="575">
        <f t="shared" si="21"/>
        <v>160.69964530701637</v>
      </c>
      <c r="L88" s="528"/>
      <c r="M88" s="528"/>
    </row>
    <row r="89" spans="1:13" s="42" customFormat="1" ht="20.100000000000001" customHeight="1">
      <c r="A89" s="285">
        <f t="shared" si="24"/>
        <v>16</v>
      </c>
      <c r="B89" s="272" t="s">
        <v>116</v>
      </c>
      <c r="C89" s="273"/>
      <c r="D89" s="274">
        <v>228.55199999999999</v>
      </c>
      <c r="E89" s="45" t="s">
        <v>40</v>
      </c>
      <c r="F89" s="283">
        <f t="shared" si="22"/>
        <v>60000</v>
      </c>
      <c r="G89" s="67">
        <f t="shared" si="23"/>
        <v>13713120</v>
      </c>
      <c r="H89" s="535"/>
      <c r="I89" s="541">
        <v>111088.2828</v>
      </c>
      <c r="J89" s="560">
        <f t="shared" si="18"/>
        <v>25389449.210505601</v>
      </c>
      <c r="K89" s="576">
        <f t="shared" si="21"/>
        <v>54.011096839098862</v>
      </c>
      <c r="L89" s="528"/>
      <c r="M89" s="528"/>
    </row>
    <row r="90" spans="1:13" s="42" customFormat="1" ht="20.100000000000001" customHeight="1">
      <c r="A90" s="284">
        <f t="shared" si="24"/>
        <v>17</v>
      </c>
      <c r="B90" s="286" t="s">
        <v>94</v>
      </c>
      <c r="C90" s="281"/>
      <c r="D90" s="282">
        <v>228.55199999999999</v>
      </c>
      <c r="E90" s="81" t="s">
        <v>40</v>
      </c>
      <c r="F90" s="283">
        <f t="shared" si="22"/>
        <v>40000</v>
      </c>
      <c r="G90" s="67">
        <f t="shared" si="23"/>
        <v>9142080</v>
      </c>
      <c r="H90" s="535"/>
      <c r="I90" s="541">
        <v>45665.675000000003</v>
      </c>
      <c r="J90" s="560">
        <f t="shared" si="18"/>
        <v>10436981.352600001</v>
      </c>
      <c r="K90" s="560">
        <f t="shared" si="21"/>
        <v>87.5931429897839</v>
      </c>
      <c r="L90" s="528"/>
      <c r="M90" s="528"/>
    </row>
    <row r="91" spans="1:13" s="42" customFormat="1" ht="20.100000000000001" customHeight="1">
      <c r="A91" s="271">
        <f t="shared" si="24"/>
        <v>18</v>
      </c>
      <c r="B91" s="272" t="s">
        <v>139</v>
      </c>
      <c r="C91" s="273"/>
      <c r="D91" s="274">
        <v>152.86320000000001</v>
      </c>
      <c r="E91" s="45" t="s">
        <v>38</v>
      </c>
      <c r="F91" s="283">
        <f t="shared" si="22"/>
        <v>35000</v>
      </c>
      <c r="G91" s="67">
        <f t="shared" si="23"/>
        <v>5350212</v>
      </c>
      <c r="H91" s="535"/>
      <c r="I91" s="541">
        <v>26381.666666666668</v>
      </c>
      <c r="J91" s="560">
        <f t="shared" si="18"/>
        <v>4032785.9880000004</v>
      </c>
      <c r="K91" s="575">
        <f t="shared" si="21"/>
        <v>132.66788805357254</v>
      </c>
      <c r="L91" s="528"/>
      <c r="M91" s="528"/>
    </row>
    <row r="92" spans="1:13" s="42" customFormat="1" ht="20.100000000000001" customHeight="1">
      <c r="A92" s="48"/>
      <c r="B92" s="172"/>
      <c r="C92" s="172"/>
      <c r="D92" s="49"/>
      <c r="E92" s="50"/>
      <c r="F92" s="51"/>
      <c r="G92" s="52"/>
      <c r="H92" s="535"/>
      <c r="I92" s="51"/>
      <c r="J92" s="564"/>
      <c r="K92" s="560"/>
      <c r="L92" s="528"/>
      <c r="M92" s="528"/>
    </row>
    <row r="93" spans="1:13" s="42" customFormat="1" ht="20.100000000000001" customHeight="1">
      <c r="A93" s="53" t="s">
        <v>171</v>
      </c>
      <c r="B93" s="175" t="s">
        <v>172</v>
      </c>
      <c r="C93" s="176"/>
      <c r="D93" s="54"/>
      <c r="E93" s="55"/>
      <c r="F93" s="56"/>
      <c r="G93" s="57">
        <f>SUM(G95:G132)</f>
        <v>1286555336.6699998</v>
      </c>
      <c r="H93" s="535"/>
      <c r="I93" s="56"/>
      <c r="J93" s="565"/>
      <c r="K93" s="560"/>
      <c r="L93" s="528"/>
      <c r="M93" s="528"/>
    </row>
    <row r="94" spans="1:13" s="42" customFormat="1" ht="20.100000000000001" customHeight="1">
      <c r="A94" s="58"/>
      <c r="B94" s="177" t="s">
        <v>173</v>
      </c>
      <c r="C94" s="177"/>
      <c r="D94" s="59"/>
      <c r="E94" s="60"/>
      <c r="F94" s="61"/>
      <c r="G94" s="62"/>
      <c r="H94" s="535"/>
      <c r="I94" s="61"/>
      <c r="J94" s="566"/>
      <c r="K94" s="560"/>
      <c r="L94" s="528"/>
      <c r="M94" s="528"/>
    </row>
    <row r="95" spans="1:13" s="42" customFormat="1" ht="20.100000000000001" customHeight="1">
      <c r="A95" s="271">
        <v>1</v>
      </c>
      <c r="B95" s="272" t="s">
        <v>37</v>
      </c>
      <c r="C95" s="273"/>
      <c r="D95" s="274">
        <v>86.149199999999993</v>
      </c>
      <c r="E95" s="45" t="s">
        <v>38</v>
      </c>
      <c r="F95" s="46">
        <f>F83</f>
        <v>50000</v>
      </c>
      <c r="G95" s="275">
        <f t="shared" ref="G95:G103" si="25">D95*F95</f>
        <v>4307460</v>
      </c>
      <c r="H95" s="535"/>
      <c r="I95" s="46">
        <v>68612.5</v>
      </c>
      <c r="J95" s="560">
        <f t="shared" ref="J95:J158" si="26">D95*I95</f>
        <v>5910911.9849999994</v>
      </c>
      <c r="K95" s="560">
        <f t="shared" si="21"/>
        <v>72.873018764802339</v>
      </c>
      <c r="L95" s="528"/>
      <c r="M95" s="528"/>
    </row>
    <row r="96" spans="1:13" s="42" customFormat="1" ht="20.100000000000001" customHeight="1">
      <c r="A96" s="271">
        <f t="shared" ref="A96:A103" si="27">A95+1</f>
        <v>2</v>
      </c>
      <c r="B96" s="272" t="s">
        <v>10</v>
      </c>
      <c r="C96" s="273"/>
      <c r="D96" s="274">
        <v>10.671000000000003</v>
      </c>
      <c r="E96" s="45" t="s">
        <v>38</v>
      </c>
      <c r="F96" s="46">
        <f t="shared" ref="F96:F97" si="28">F84</f>
        <v>350000</v>
      </c>
      <c r="G96" s="275">
        <f t="shared" si="25"/>
        <v>3734850.0000000009</v>
      </c>
      <c r="H96" s="535"/>
      <c r="I96" s="46">
        <v>257207.50000000003</v>
      </c>
      <c r="J96" s="560">
        <f t="shared" si="26"/>
        <v>2744661.2325000009</v>
      </c>
      <c r="K96" s="575">
        <f t="shared" si="21"/>
        <v>136.07690288969022</v>
      </c>
      <c r="L96" s="528"/>
      <c r="M96" s="528"/>
    </row>
    <row r="97" spans="1:13" s="42" customFormat="1" ht="20.100000000000001" customHeight="1">
      <c r="A97" s="271">
        <f t="shared" si="27"/>
        <v>3</v>
      </c>
      <c r="B97" s="272" t="s">
        <v>50</v>
      </c>
      <c r="C97" s="273"/>
      <c r="D97" s="274">
        <v>158.09039999999999</v>
      </c>
      <c r="E97" s="45" t="s">
        <v>38</v>
      </c>
      <c r="F97" s="46">
        <f t="shared" si="28"/>
        <v>900000</v>
      </c>
      <c r="G97" s="275">
        <f t="shared" si="25"/>
        <v>142281360</v>
      </c>
      <c r="H97" s="535"/>
      <c r="I97" s="46">
        <v>1120599.7000000002</v>
      </c>
      <c r="J97" s="560">
        <f t="shared" si="26"/>
        <v>177156054.81288001</v>
      </c>
      <c r="K97" s="560">
        <f t="shared" si="21"/>
        <v>80.314138938284557</v>
      </c>
      <c r="L97" s="528"/>
      <c r="M97" s="528"/>
    </row>
    <row r="98" spans="1:13" s="42" customFormat="1" ht="20.100000000000001" customHeight="1">
      <c r="A98" s="271">
        <f t="shared" si="27"/>
        <v>4</v>
      </c>
      <c r="B98" s="272" t="s">
        <v>51</v>
      </c>
      <c r="C98" s="273"/>
      <c r="D98" s="274">
        <v>80.448000000000008</v>
      </c>
      <c r="E98" s="45" t="s">
        <v>52</v>
      </c>
      <c r="F98" s="46">
        <v>35000</v>
      </c>
      <c r="G98" s="275">
        <f t="shared" si="25"/>
        <v>2815680.0000000005</v>
      </c>
      <c r="H98" s="535"/>
      <c r="I98" s="46">
        <v>23500</v>
      </c>
      <c r="J98" s="560">
        <f t="shared" si="26"/>
        <v>1890528.0000000002</v>
      </c>
      <c r="K98" s="575">
        <f t="shared" si="21"/>
        <v>148.93617021276594</v>
      </c>
      <c r="L98" s="528"/>
      <c r="M98" s="528"/>
    </row>
    <row r="99" spans="1:13" s="42" customFormat="1" ht="20.100000000000001" customHeight="1">
      <c r="A99" s="271">
        <f t="shared" si="27"/>
        <v>5</v>
      </c>
      <c r="B99" s="272" t="s">
        <v>116</v>
      </c>
      <c r="C99" s="273"/>
      <c r="D99" s="274">
        <v>264.26120000000003</v>
      </c>
      <c r="E99" s="45" t="s">
        <v>40</v>
      </c>
      <c r="F99" s="46">
        <f>F89</f>
        <v>60000</v>
      </c>
      <c r="G99" s="275">
        <f t="shared" si="25"/>
        <v>15855672.000000002</v>
      </c>
      <c r="H99" s="535"/>
      <c r="I99" s="46">
        <v>111088.2828</v>
      </c>
      <c r="J99" s="560">
        <f t="shared" si="26"/>
        <v>29356322.918667365</v>
      </c>
      <c r="K99" s="576">
        <f t="shared" si="21"/>
        <v>54.011096839098862</v>
      </c>
      <c r="L99" s="528"/>
      <c r="M99" s="528"/>
    </row>
    <row r="100" spans="1:13" s="42" customFormat="1" ht="20.100000000000001" customHeight="1">
      <c r="A100" s="66">
        <f t="shared" ref="A100:A101" si="29">1+A99</f>
        <v>6</v>
      </c>
      <c r="B100" s="272" t="s">
        <v>18</v>
      </c>
      <c r="C100" s="273"/>
      <c r="D100" s="274">
        <v>280.35079999999999</v>
      </c>
      <c r="E100" s="45" t="s">
        <v>40</v>
      </c>
      <c r="F100" s="46">
        <f>F90</f>
        <v>40000</v>
      </c>
      <c r="G100" s="275">
        <f t="shared" si="25"/>
        <v>11214032</v>
      </c>
      <c r="H100" s="535"/>
      <c r="I100" s="46">
        <v>45665.675000000003</v>
      </c>
      <c r="J100" s="560">
        <f t="shared" si="26"/>
        <v>12802408.518790001</v>
      </c>
      <c r="K100" s="560">
        <f t="shared" si="21"/>
        <v>87.5931429897839</v>
      </c>
      <c r="L100" s="528"/>
      <c r="M100" s="528"/>
    </row>
    <row r="101" spans="1:13" s="42" customFormat="1" ht="20.100000000000001" customHeight="1">
      <c r="A101" s="66">
        <f t="shared" si="29"/>
        <v>7</v>
      </c>
      <c r="B101" s="272" t="s">
        <v>54</v>
      </c>
      <c r="C101" s="273"/>
      <c r="D101" s="274">
        <v>264.47120000000001</v>
      </c>
      <c r="E101" s="45" t="s">
        <v>40</v>
      </c>
      <c r="F101" s="46">
        <v>62000</v>
      </c>
      <c r="G101" s="275">
        <f t="shared" si="25"/>
        <v>16397214.4</v>
      </c>
      <c r="H101" s="535"/>
      <c r="I101" s="46">
        <v>74545.08600000001</v>
      </c>
      <c r="J101" s="560">
        <f t="shared" si="26"/>
        <v>19715028.348523203</v>
      </c>
      <c r="K101" s="560">
        <f t="shared" si="21"/>
        <v>83.171142897333283</v>
      </c>
      <c r="L101" s="528"/>
      <c r="M101" s="528"/>
    </row>
    <row r="102" spans="1:13" s="42" customFormat="1" ht="20.100000000000001" customHeight="1">
      <c r="A102" s="271">
        <f t="shared" si="27"/>
        <v>8</v>
      </c>
      <c r="B102" s="272" t="s">
        <v>174</v>
      </c>
      <c r="C102" s="273"/>
      <c r="D102" s="274">
        <v>1731.1224999999999</v>
      </c>
      <c r="E102" s="45" t="s">
        <v>38</v>
      </c>
      <c r="F102" s="46">
        <v>15000</v>
      </c>
      <c r="G102" s="275">
        <f t="shared" si="25"/>
        <v>25966837.5</v>
      </c>
      <c r="H102" s="535"/>
      <c r="I102" s="46">
        <v>19272.916666666668</v>
      </c>
      <c r="J102" s="560">
        <f t="shared" si="26"/>
        <v>33363779.682291668</v>
      </c>
      <c r="K102" s="560">
        <f t="shared" si="21"/>
        <v>77.829423846070682</v>
      </c>
      <c r="L102" s="528"/>
      <c r="M102" s="528"/>
    </row>
    <row r="103" spans="1:13" s="42" customFormat="1" ht="20.100000000000001" customHeight="1">
      <c r="A103" s="271">
        <f t="shared" si="27"/>
        <v>9</v>
      </c>
      <c r="B103" s="272" t="s">
        <v>231</v>
      </c>
      <c r="C103" s="273"/>
      <c r="D103" s="274">
        <v>264.22449999999998</v>
      </c>
      <c r="E103" s="45" t="s">
        <v>38</v>
      </c>
      <c r="F103" s="46">
        <v>15000</v>
      </c>
      <c r="G103" s="275">
        <f t="shared" si="25"/>
        <v>3963367.4999999995</v>
      </c>
      <c r="H103" s="535"/>
      <c r="I103" s="46">
        <v>28909.375000000004</v>
      </c>
      <c r="J103" s="560">
        <f t="shared" si="26"/>
        <v>7638565.1546875006</v>
      </c>
      <c r="K103" s="576">
        <f t="shared" si="21"/>
        <v>51.886282564047129</v>
      </c>
      <c r="L103" s="528"/>
      <c r="M103" s="528"/>
    </row>
    <row r="104" spans="1:13" s="42" customFormat="1" ht="20.100000000000001" customHeight="1">
      <c r="A104" s="43"/>
      <c r="B104" s="177" t="s">
        <v>175</v>
      </c>
      <c r="C104" s="178"/>
      <c r="D104" s="44"/>
      <c r="E104" s="45"/>
      <c r="F104" s="46"/>
      <c r="G104" s="47"/>
      <c r="H104" s="535"/>
      <c r="I104" s="46"/>
      <c r="J104" s="560">
        <f t="shared" si="26"/>
        <v>0</v>
      </c>
      <c r="K104" s="560"/>
      <c r="L104" s="528"/>
      <c r="M104" s="528"/>
    </row>
    <row r="105" spans="1:13" s="42" customFormat="1" ht="20.100000000000001" customHeight="1">
      <c r="A105" s="271">
        <f>1+A103</f>
        <v>10</v>
      </c>
      <c r="B105" s="272" t="s">
        <v>37</v>
      </c>
      <c r="C105" s="273"/>
      <c r="D105" s="274">
        <v>112.04259999999999</v>
      </c>
      <c r="E105" s="45" t="s">
        <v>38</v>
      </c>
      <c r="F105" s="46">
        <f>F95</f>
        <v>50000</v>
      </c>
      <c r="G105" s="275">
        <f t="shared" ref="G105:G113" si="30">D105*F105</f>
        <v>5602130</v>
      </c>
      <c r="H105" s="535"/>
      <c r="I105" s="46">
        <v>68612.5</v>
      </c>
      <c r="J105" s="560">
        <f t="shared" si="26"/>
        <v>7687522.8924999991</v>
      </c>
      <c r="K105" s="560">
        <f t="shared" si="21"/>
        <v>72.873018764802339</v>
      </c>
      <c r="L105" s="528"/>
      <c r="M105" s="528"/>
    </row>
    <row r="106" spans="1:13" s="42" customFormat="1" ht="20.100000000000001" customHeight="1">
      <c r="A106" s="271">
        <f t="shared" ref="A106:A109" si="31">A105+1</f>
        <v>11</v>
      </c>
      <c r="B106" s="272" t="s">
        <v>10</v>
      </c>
      <c r="C106" s="273"/>
      <c r="D106" s="274">
        <v>13.873000000000003</v>
      </c>
      <c r="E106" s="45" t="s">
        <v>38</v>
      </c>
      <c r="F106" s="46">
        <f t="shared" ref="F106:F113" si="32">F96</f>
        <v>350000</v>
      </c>
      <c r="G106" s="275">
        <f t="shared" si="30"/>
        <v>4855550.0000000009</v>
      </c>
      <c r="H106" s="535"/>
      <c r="I106" s="46">
        <v>257207.50000000003</v>
      </c>
      <c r="J106" s="560">
        <f t="shared" si="26"/>
        <v>3568239.6475000014</v>
      </c>
      <c r="K106" s="560">
        <f t="shared" si="21"/>
        <v>136.07690288969022</v>
      </c>
      <c r="L106" s="528"/>
      <c r="M106" s="528"/>
    </row>
    <row r="107" spans="1:13" s="42" customFormat="1" ht="20.100000000000001" customHeight="1">
      <c r="A107" s="271">
        <f t="shared" si="31"/>
        <v>12</v>
      </c>
      <c r="B107" s="272" t="s">
        <v>50</v>
      </c>
      <c r="C107" s="273"/>
      <c r="D107" s="274">
        <v>205.38719999999998</v>
      </c>
      <c r="E107" s="45" t="s">
        <v>38</v>
      </c>
      <c r="F107" s="46">
        <f t="shared" si="32"/>
        <v>900000</v>
      </c>
      <c r="G107" s="275">
        <f t="shared" si="30"/>
        <v>184848479.99999997</v>
      </c>
      <c r="H107" s="535"/>
      <c r="I107" s="46">
        <v>1120599.7000000002</v>
      </c>
      <c r="J107" s="560">
        <f t="shared" si="26"/>
        <v>230156834.70384002</v>
      </c>
      <c r="K107" s="560">
        <f t="shared" si="21"/>
        <v>80.314138938284557</v>
      </c>
      <c r="L107" s="528"/>
      <c r="M107" s="528"/>
    </row>
    <row r="108" spans="1:13" s="42" customFormat="1" ht="20.100000000000001" customHeight="1">
      <c r="A108" s="271">
        <f t="shared" si="31"/>
        <v>13</v>
      </c>
      <c r="B108" s="272" t="s">
        <v>51</v>
      </c>
      <c r="C108" s="273"/>
      <c r="D108" s="274">
        <v>104.744</v>
      </c>
      <c r="E108" s="45" t="s">
        <v>52</v>
      </c>
      <c r="F108" s="46">
        <f t="shared" si="32"/>
        <v>35000</v>
      </c>
      <c r="G108" s="275">
        <f t="shared" si="30"/>
        <v>3666040</v>
      </c>
      <c r="H108" s="535"/>
      <c r="I108" s="46">
        <v>23500</v>
      </c>
      <c r="J108" s="560">
        <f t="shared" si="26"/>
        <v>2461484</v>
      </c>
      <c r="K108" s="575">
        <f t="shared" si="21"/>
        <v>148.93617021276594</v>
      </c>
      <c r="L108" s="528"/>
      <c r="M108" s="528"/>
    </row>
    <row r="109" spans="1:13" s="42" customFormat="1" ht="20.100000000000001" customHeight="1">
      <c r="A109" s="271">
        <f t="shared" si="31"/>
        <v>14</v>
      </c>
      <c r="B109" s="272" t="s">
        <v>116</v>
      </c>
      <c r="C109" s="273"/>
      <c r="D109" s="274">
        <v>342.48399999999998</v>
      </c>
      <c r="E109" s="45" t="s">
        <v>40</v>
      </c>
      <c r="F109" s="46">
        <f t="shared" si="32"/>
        <v>60000</v>
      </c>
      <c r="G109" s="275">
        <f t="shared" si="30"/>
        <v>20549040</v>
      </c>
      <c r="H109" s="535"/>
      <c r="I109" s="46">
        <v>111088.2828</v>
      </c>
      <c r="J109" s="560">
        <f t="shared" si="26"/>
        <v>38045959.4464752</v>
      </c>
      <c r="K109" s="576">
        <f t="shared" si="21"/>
        <v>54.011096839098862</v>
      </c>
      <c r="L109" s="528"/>
      <c r="M109" s="528"/>
    </row>
    <row r="110" spans="1:13" s="42" customFormat="1" ht="20.100000000000001" customHeight="1">
      <c r="A110" s="66">
        <f t="shared" ref="A110:A111" si="33">1+A109</f>
        <v>15</v>
      </c>
      <c r="B110" s="272" t="s">
        <v>18</v>
      </c>
      <c r="C110" s="273"/>
      <c r="D110" s="274">
        <v>363.43279999999999</v>
      </c>
      <c r="E110" s="45" t="s">
        <v>40</v>
      </c>
      <c r="F110" s="46">
        <f t="shared" si="32"/>
        <v>40000</v>
      </c>
      <c r="G110" s="275">
        <f t="shared" si="30"/>
        <v>14537312</v>
      </c>
      <c r="H110" s="535"/>
      <c r="I110" s="46">
        <v>45665.675000000003</v>
      </c>
      <c r="J110" s="560">
        <f t="shared" si="26"/>
        <v>16596404.129140001</v>
      </c>
      <c r="K110" s="560">
        <f t="shared" si="21"/>
        <v>87.5931429897839</v>
      </c>
      <c r="L110" s="528"/>
      <c r="M110" s="528"/>
    </row>
    <row r="111" spans="1:13" s="42" customFormat="1" ht="20.100000000000001" customHeight="1">
      <c r="A111" s="66">
        <f t="shared" si="33"/>
        <v>16</v>
      </c>
      <c r="B111" s="272" t="s">
        <v>54</v>
      </c>
      <c r="C111" s="273"/>
      <c r="D111" s="274">
        <v>343.15719999999993</v>
      </c>
      <c r="E111" s="45" t="s">
        <v>40</v>
      </c>
      <c r="F111" s="46">
        <f t="shared" si="32"/>
        <v>62000</v>
      </c>
      <c r="G111" s="275">
        <f t="shared" si="30"/>
        <v>21275746.399999995</v>
      </c>
      <c r="H111" s="535"/>
      <c r="I111" s="46">
        <v>74545.08600000001</v>
      </c>
      <c r="J111" s="560">
        <f t="shared" si="26"/>
        <v>25580682.985519197</v>
      </c>
      <c r="K111" s="560">
        <f t="shared" si="21"/>
        <v>83.171142897333283</v>
      </c>
      <c r="L111" s="528"/>
      <c r="M111" s="528"/>
    </row>
    <row r="112" spans="1:13" s="42" customFormat="1" ht="20.100000000000001" customHeight="1">
      <c r="A112" s="271">
        <f t="shared" ref="A112:A113" si="34">A111+1</f>
        <v>17</v>
      </c>
      <c r="B112" s="272" t="s">
        <v>174</v>
      </c>
      <c r="C112" s="273"/>
      <c r="D112" s="274">
        <v>2443.04324</v>
      </c>
      <c r="E112" s="45" t="s">
        <v>38</v>
      </c>
      <c r="F112" s="46">
        <f t="shared" si="32"/>
        <v>15000</v>
      </c>
      <c r="G112" s="275">
        <f t="shared" si="30"/>
        <v>36645648.600000001</v>
      </c>
      <c r="H112" s="535"/>
      <c r="I112" s="46">
        <v>19272.916666666668</v>
      </c>
      <c r="J112" s="560">
        <f t="shared" si="26"/>
        <v>47084568.777583338</v>
      </c>
      <c r="K112" s="560">
        <f t="shared" si="21"/>
        <v>77.829423846070682</v>
      </c>
      <c r="L112" s="528"/>
      <c r="M112" s="528"/>
    </row>
    <row r="113" spans="1:13" s="42" customFormat="1" ht="20.100000000000001" customHeight="1">
      <c r="A113" s="271">
        <f t="shared" si="34"/>
        <v>18</v>
      </c>
      <c r="B113" s="272" t="s">
        <v>231</v>
      </c>
      <c r="C113" s="273"/>
      <c r="D113" s="274">
        <v>361.50138199999998</v>
      </c>
      <c r="E113" s="45" t="s">
        <v>38</v>
      </c>
      <c r="F113" s="46">
        <f t="shared" si="32"/>
        <v>15000</v>
      </c>
      <c r="G113" s="275">
        <f t="shared" si="30"/>
        <v>5422520.7299999995</v>
      </c>
      <c r="H113" s="535"/>
      <c r="I113" s="46">
        <v>28909.375000000004</v>
      </c>
      <c r="J113" s="560">
        <f t="shared" si="26"/>
        <v>10450779.01525625</v>
      </c>
      <c r="K113" s="576">
        <f t="shared" si="21"/>
        <v>51.886282564047129</v>
      </c>
      <c r="L113" s="528"/>
      <c r="M113" s="528"/>
    </row>
    <row r="114" spans="1:13" s="42" customFormat="1" ht="20.100000000000001" customHeight="1">
      <c r="A114" s="43"/>
      <c r="B114" s="177" t="s">
        <v>176</v>
      </c>
      <c r="C114" s="178"/>
      <c r="D114" s="44"/>
      <c r="E114" s="45"/>
      <c r="F114" s="46"/>
      <c r="G114" s="47"/>
      <c r="H114" s="535"/>
      <c r="I114" s="46"/>
      <c r="J114" s="560">
        <f t="shared" si="26"/>
        <v>0</v>
      </c>
      <c r="K114" s="560"/>
      <c r="L114" s="528"/>
      <c r="M114" s="528"/>
    </row>
    <row r="115" spans="1:13" s="42" customFormat="1" ht="20.100000000000001" customHeight="1">
      <c r="A115" s="271">
        <f>1+A113</f>
        <v>19</v>
      </c>
      <c r="B115" s="272" t="s">
        <v>37</v>
      </c>
      <c r="C115" s="273"/>
      <c r="D115" s="274">
        <v>207.98100000000002</v>
      </c>
      <c r="E115" s="45" t="s">
        <v>38</v>
      </c>
      <c r="F115" s="46">
        <f>F105</f>
        <v>50000</v>
      </c>
      <c r="G115" s="275">
        <f t="shared" ref="G115:G123" si="35">D115*F115</f>
        <v>10399050.000000002</v>
      </c>
      <c r="H115" s="535"/>
      <c r="I115" s="46">
        <v>68612.5</v>
      </c>
      <c r="J115" s="560">
        <f t="shared" si="26"/>
        <v>14270096.362500001</v>
      </c>
      <c r="K115" s="560">
        <f t="shared" si="21"/>
        <v>72.873018764802339</v>
      </c>
      <c r="L115" s="528"/>
      <c r="M115" s="528"/>
    </row>
    <row r="116" spans="1:13" s="42" customFormat="1" ht="20.100000000000001" customHeight="1">
      <c r="A116" s="271">
        <f t="shared" ref="A116:A119" si="36">A115+1</f>
        <v>20</v>
      </c>
      <c r="B116" s="272" t="s">
        <v>10</v>
      </c>
      <c r="C116" s="273"/>
      <c r="D116" s="274">
        <v>25.77</v>
      </c>
      <c r="E116" s="45" t="s">
        <v>38</v>
      </c>
      <c r="F116" s="46">
        <f t="shared" ref="F116:F123" si="37">F106</f>
        <v>350000</v>
      </c>
      <c r="G116" s="275">
        <f t="shared" si="35"/>
        <v>9019500</v>
      </c>
      <c r="H116" s="535"/>
      <c r="I116" s="46">
        <v>257207.50000000003</v>
      </c>
      <c r="J116" s="560">
        <f t="shared" si="26"/>
        <v>6628237.2750000004</v>
      </c>
      <c r="K116" s="575">
        <f t="shared" si="21"/>
        <v>136.07690288969022</v>
      </c>
      <c r="L116" s="528"/>
      <c r="M116" s="528"/>
    </row>
    <row r="117" spans="1:13" s="42" customFormat="1" ht="20.100000000000001" customHeight="1">
      <c r="A117" s="271">
        <f t="shared" si="36"/>
        <v>21</v>
      </c>
      <c r="B117" s="272" t="s">
        <v>50</v>
      </c>
      <c r="C117" s="273"/>
      <c r="D117" s="274">
        <v>381.99599999999998</v>
      </c>
      <c r="E117" s="45" t="s">
        <v>38</v>
      </c>
      <c r="F117" s="46">
        <f t="shared" si="37"/>
        <v>900000</v>
      </c>
      <c r="G117" s="275">
        <f t="shared" si="35"/>
        <v>343796400</v>
      </c>
      <c r="H117" s="535"/>
      <c r="I117" s="46">
        <v>1120599.7000000002</v>
      </c>
      <c r="J117" s="560">
        <f t="shared" si="26"/>
        <v>428064603.00120002</v>
      </c>
      <c r="K117" s="560">
        <f t="shared" si="21"/>
        <v>80.314138938284557</v>
      </c>
      <c r="L117" s="528"/>
      <c r="M117" s="528"/>
    </row>
    <row r="118" spans="1:13" s="42" customFormat="1" ht="20.100000000000001" customHeight="1">
      <c r="A118" s="271">
        <f t="shared" si="36"/>
        <v>22</v>
      </c>
      <c r="B118" s="272" t="s">
        <v>51</v>
      </c>
      <c r="C118" s="273"/>
      <c r="D118" s="274">
        <v>194.04000000000002</v>
      </c>
      <c r="E118" s="45" t="s">
        <v>52</v>
      </c>
      <c r="F118" s="46">
        <f t="shared" si="37"/>
        <v>35000</v>
      </c>
      <c r="G118" s="275">
        <f t="shared" si="35"/>
        <v>6791400.0000000009</v>
      </c>
      <c r="H118" s="535"/>
      <c r="I118" s="46">
        <v>23500</v>
      </c>
      <c r="J118" s="560">
        <f t="shared" si="26"/>
        <v>4559940.0000000009</v>
      </c>
      <c r="K118" s="575">
        <f t="shared" si="21"/>
        <v>148.93617021276594</v>
      </c>
      <c r="L118" s="528"/>
      <c r="M118" s="528"/>
    </row>
    <row r="119" spans="1:13" s="42" customFormat="1" ht="20.100000000000001" customHeight="1">
      <c r="A119" s="271">
        <f t="shared" si="36"/>
        <v>23</v>
      </c>
      <c r="B119" s="272" t="s">
        <v>116</v>
      </c>
      <c r="C119" s="273"/>
      <c r="D119" s="274">
        <v>639.81560000000002</v>
      </c>
      <c r="E119" s="45" t="s">
        <v>40</v>
      </c>
      <c r="F119" s="46">
        <f t="shared" si="37"/>
        <v>60000</v>
      </c>
      <c r="G119" s="275">
        <f t="shared" si="35"/>
        <v>38388936</v>
      </c>
      <c r="H119" s="535"/>
      <c r="I119" s="46">
        <v>111088.2828</v>
      </c>
      <c r="J119" s="560">
        <f t="shared" si="26"/>
        <v>71076016.312651679</v>
      </c>
      <c r="K119" s="576">
        <f t="shared" si="21"/>
        <v>54.011096839098862</v>
      </c>
      <c r="L119" s="528"/>
      <c r="M119" s="528"/>
    </row>
    <row r="120" spans="1:13" s="42" customFormat="1" ht="20.100000000000001" customHeight="1">
      <c r="A120" s="66">
        <f t="shared" ref="A120:A121" si="38">1+A119</f>
        <v>24</v>
      </c>
      <c r="B120" s="272" t="s">
        <v>18</v>
      </c>
      <c r="C120" s="273"/>
      <c r="D120" s="274">
        <v>678.62360000000001</v>
      </c>
      <c r="E120" s="45" t="s">
        <v>40</v>
      </c>
      <c r="F120" s="46">
        <f t="shared" si="37"/>
        <v>40000</v>
      </c>
      <c r="G120" s="275">
        <f t="shared" si="35"/>
        <v>27144944</v>
      </c>
      <c r="H120" s="535"/>
      <c r="I120" s="46">
        <v>45665.675000000003</v>
      </c>
      <c r="J120" s="560">
        <f t="shared" si="26"/>
        <v>30989804.764930002</v>
      </c>
      <c r="K120" s="560">
        <f t="shared" si="21"/>
        <v>87.5931429897839</v>
      </c>
      <c r="L120" s="528"/>
      <c r="M120" s="528"/>
    </row>
    <row r="121" spans="1:13" s="42" customFormat="1" ht="20.100000000000001" customHeight="1">
      <c r="A121" s="66">
        <f t="shared" si="38"/>
        <v>25</v>
      </c>
      <c r="B121" s="272" t="s">
        <v>54</v>
      </c>
      <c r="C121" s="273"/>
      <c r="D121" s="274">
        <v>639.71239999999989</v>
      </c>
      <c r="E121" s="45" t="s">
        <v>40</v>
      </c>
      <c r="F121" s="46">
        <f t="shared" si="37"/>
        <v>62000</v>
      </c>
      <c r="G121" s="275">
        <f t="shared" si="35"/>
        <v>39662168.79999999</v>
      </c>
      <c r="H121" s="535"/>
      <c r="I121" s="46">
        <v>74545.08600000001</v>
      </c>
      <c r="J121" s="560">
        <f t="shared" si="26"/>
        <v>47687415.873266399</v>
      </c>
      <c r="K121" s="560">
        <f t="shared" si="21"/>
        <v>83.171142897333283</v>
      </c>
      <c r="L121" s="528"/>
      <c r="M121" s="528"/>
    </row>
    <row r="122" spans="1:13" s="42" customFormat="1" ht="20.100000000000001" customHeight="1">
      <c r="A122" s="271">
        <f t="shared" ref="A122:A123" si="39">A121+1</f>
        <v>26</v>
      </c>
      <c r="B122" s="272" t="s">
        <v>174</v>
      </c>
      <c r="C122" s="273"/>
      <c r="D122" s="274">
        <v>1291.70254</v>
      </c>
      <c r="E122" s="45" t="s">
        <v>38</v>
      </c>
      <c r="F122" s="46">
        <f t="shared" si="37"/>
        <v>15000</v>
      </c>
      <c r="G122" s="275">
        <f t="shared" si="35"/>
        <v>19375538.100000001</v>
      </c>
      <c r="H122" s="535"/>
      <c r="I122" s="46">
        <v>19272.916666666668</v>
      </c>
      <c r="J122" s="560">
        <f t="shared" si="26"/>
        <v>24894875.411541667</v>
      </c>
      <c r="K122" s="560">
        <f t="shared" si="21"/>
        <v>77.829423846070682</v>
      </c>
      <c r="L122" s="528"/>
      <c r="M122" s="528"/>
    </row>
    <row r="123" spans="1:13" s="42" customFormat="1" ht="20.100000000000001" customHeight="1">
      <c r="A123" s="271">
        <f t="shared" si="39"/>
        <v>27</v>
      </c>
      <c r="B123" s="272" t="s">
        <v>231</v>
      </c>
      <c r="C123" s="273"/>
      <c r="D123" s="274">
        <v>2983.1050599999999</v>
      </c>
      <c r="E123" s="45" t="s">
        <v>38</v>
      </c>
      <c r="F123" s="46">
        <f t="shared" si="37"/>
        <v>15000</v>
      </c>
      <c r="G123" s="275">
        <f t="shared" si="35"/>
        <v>44746575.899999999</v>
      </c>
      <c r="H123" s="535"/>
      <c r="I123" s="46">
        <v>28909.375000000004</v>
      </c>
      <c r="J123" s="560">
        <f t="shared" si="26"/>
        <v>86239702.843937501</v>
      </c>
      <c r="K123" s="576">
        <f t="shared" si="21"/>
        <v>51.886282564047129</v>
      </c>
      <c r="L123" s="528"/>
      <c r="M123" s="528"/>
    </row>
    <row r="124" spans="1:13" s="42" customFormat="1" ht="20.100000000000001" customHeight="1">
      <c r="A124" s="43"/>
      <c r="B124" s="177" t="s">
        <v>177</v>
      </c>
      <c r="C124" s="178"/>
      <c r="D124" s="44"/>
      <c r="E124" s="45"/>
      <c r="F124" s="46"/>
      <c r="G124" s="47"/>
      <c r="H124" s="535"/>
      <c r="I124" s="46"/>
      <c r="J124" s="560">
        <f t="shared" si="26"/>
        <v>0</v>
      </c>
      <c r="K124" s="560"/>
      <c r="L124" s="528"/>
      <c r="M124" s="528"/>
    </row>
    <row r="125" spans="1:13" s="42" customFormat="1" ht="20.100000000000001" customHeight="1">
      <c r="A125" s="271">
        <f>1+A123</f>
        <v>28</v>
      </c>
      <c r="B125" s="272" t="s">
        <v>37</v>
      </c>
      <c r="C125" s="273"/>
      <c r="D125" s="274">
        <v>83.321950000000001</v>
      </c>
      <c r="E125" s="45" t="s">
        <v>38</v>
      </c>
      <c r="F125" s="46">
        <f>F115</f>
        <v>50000</v>
      </c>
      <c r="G125" s="275">
        <f t="shared" ref="G125:G132" si="40">D125*F125</f>
        <v>4166097.5</v>
      </c>
      <c r="H125" s="535"/>
      <c r="I125" s="46">
        <v>68612.5</v>
      </c>
      <c r="J125" s="560">
        <f t="shared" si="26"/>
        <v>5716927.2943750005</v>
      </c>
      <c r="K125" s="560">
        <f t="shared" si="21"/>
        <v>72.873018764802339</v>
      </c>
      <c r="L125" s="528"/>
      <c r="M125" s="528"/>
    </row>
    <row r="126" spans="1:13" s="42" customFormat="1" ht="20.100000000000001" customHeight="1">
      <c r="A126" s="271">
        <f t="shared" ref="A126:A129" si="41">A125+1</f>
        <v>29</v>
      </c>
      <c r="B126" s="272" t="s">
        <v>10</v>
      </c>
      <c r="C126" s="273"/>
      <c r="D126" s="274">
        <v>10.33225</v>
      </c>
      <c r="E126" s="45" t="s">
        <v>38</v>
      </c>
      <c r="F126" s="46">
        <f t="shared" ref="F126:F132" si="42">F116</f>
        <v>350000</v>
      </c>
      <c r="G126" s="275">
        <f t="shared" si="40"/>
        <v>3616287.5</v>
      </c>
      <c r="H126" s="535"/>
      <c r="I126" s="46">
        <v>257207.50000000003</v>
      </c>
      <c r="J126" s="560">
        <f t="shared" si="26"/>
        <v>2657532.1918750005</v>
      </c>
      <c r="K126" s="575">
        <f t="shared" si="21"/>
        <v>136.07690288969022</v>
      </c>
      <c r="L126" s="528"/>
      <c r="M126" s="528"/>
    </row>
    <row r="127" spans="1:13" s="42" customFormat="1" ht="20.100000000000001" customHeight="1">
      <c r="A127" s="271">
        <f t="shared" si="41"/>
        <v>30</v>
      </c>
      <c r="B127" s="272" t="s">
        <v>50</v>
      </c>
      <c r="C127" s="273"/>
      <c r="D127" s="274">
        <v>153.37439999999998</v>
      </c>
      <c r="E127" s="45" t="s">
        <v>38</v>
      </c>
      <c r="F127" s="46">
        <f>(350000+150000+250000)*1.2</f>
        <v>900000</v>
      </c>
      <c r="G127" s="275">
        <f t="shared" si="40"/>
        <v>138036959.99999997</v>
      </c>
      <c r="H127" s="535"/>
      <c r="I127" s="46">
        <v>1120599.7000000002</v>
      </c>
      <c r="J127" s="560">
        <f t="shared" si="26"/>
        <v>171871306.62768</v>
      </c>
      <c r="K127" s="560">
        <f t="shared" si="21"/>
        <v>80.314138938284557</v>
      </c>
      <c r="L127" s="528"/>
      <c r="M127" s="528"/>
    </row>
    <row r="128" spans="1:13" s="42" customFormat="1" ht="20.100000000000001" customHeight="1">
      <c r="A128" s="271">
        <f t="shared" si="41"/>
        <v>31</v>
      </c>
      <c r="B128" s="272" t="s">
        <v>51</v>
      </c>
      <c r="C128" s="273"/>
      <c r="D128" s="274">
        <v>77.558000000000007</v>
      </c>
      <c r="E128" s="45" t="s">
        <v>52</v>
      </c>
      <c r="F128" s="46">
        <f t="shared" si="42"/>
        <v>35000</v>
      </c>
      <c r="G128" s="275">
        <f t="shared" si="40"/>
        <v>2714530.0000000005</v>
      </c>
      <c r="H128" s="535"/>
      <c r="I128" s="46">
        <v>23500</v>
      </c>
      <c r="J128" s="560">
        <f t="shared" si="26"/>
        <v>1822613.0000000002</v>
      </c>
      <c r="K128" s="575">
        <f t="shared" si="21"/>
        <v>148.93617021276594</v>
      </c>
      <c r="L128" s="528"/>
      <c r="M128" s="528"/>
    </row>
    <row r="129" spans="1:13" s="42" customFormat="1" ht="20.100000000000001" customHeight="1">
      <c r="A129" s="271">
        <f t="shared" si="41"/>
        <v>32</v>
      </c>
      <c r="B129" s="272" t="s">
        <v>116</v>
      </c>
      <c r="C129" s="273"/>
      <c r="D129" s="274">
        <v>258.17960000000005</v>
      </c>
      <c r="E129" s="45" t="s">
        <v>40</v>
      </c>
      <c r="F129" s="46">
        <f t="shared" si="42"/>
        <v>60000</v>
      </c>
      <c r="G129" s="275">
        <f t="shared" si="40"/>
        <v>15490776.000000004</v>
      </c>
      <c r="H129" s="535"/>
      <c r="I129" s="46">
        <v>111088.2828</v>
      </c>
      <c r="J129" s="560">
        <f t="shared" si="26"/>
        <v>28680728.417990886</v>
      </c>
      <c r="K129" s="560">
        <f t="shared" si="21"/>
        <v>54.011096839098862</v>
      </c>
      <c r="L129" s="528"/>
      <c r="M129" s="528"/>
    </row>
    <row r="130" spans="1:13" s="42" customFormat="1" ht="20.100000000000001" customHeight="1">
      <c r="A130" s="66">
        <f t="shared" ref="A130:A132" si="43">1+A129</f>
        <v>33</v>
      </c>
      <c r="B130" s="272" t="s">
        <v>18</v>
      </c>
      <c r="C130" s="273"/>
      <c r="D130" s="274">
        <v>273.69119999999998</v>
      </c>
      <c r="E130" s="45" t="s">
        <v>40</v>
      </c>
      <c r="F130" s="46">
        <f t="shared" si="42"/>
        <v>40000</v>
      </c>
      <c r="G130" s="275">
        <f t="shared" si="40"/>
        <v>10947648</v>
      </c>
      <c r="H130" s="535"/>
      <c r="I130" s="46">
        <v>45665.675000000003</v>
      </c>
      <c r="J130" s="560">
        <f t="shared" si="26"/>
        <v>12498293.389559999</v>
      </c>
      <c r="K130" s="560">
        <f t="shared" si="21"/>
        <v>87.5931429897839</v>
      </c>
      <c r="L130" s="528"/>
      <c r="M130" s="528"/>
    </row>
    <row r="131" spans="1:13" s="42" customFormat="1" ht="20.100000000000001" customHeight="1">
      <c r="A131" s="66">
        <f t="shared" si="43"/>
        <v>34</v>
      </c>
      <c r="B131" s="272" t="s">
        <v>54</v>
      </c>
      <c r="C131" s="273"/>
      <c r="D131" s="274">
        <v>257.52229999999997</v>
      </c>
      <c r="E131" s="45" t="s">
        <v>40</v>
      </c>
      <c r="F131" s="46">
        <f t="shared" si="42"/>
        <v>62000</v>
      </c>
      <c r="G131" s="275">
        <f t="shared" si="40"/>
        <v>15966382.599999998</v>
      </c>
      <c r="H131" s="535"/>
      <c r="I131" s="46">
        <v>74545.08600000001</v>
      </c>
      <c r="J131" s="560">
        <f t="shared" si="26"/>
        <v>19197022.000417799</v>
      </c>
      <c r="K131" s="560">
        <f t="shared" si="21"/>
        <v>83.171142897333283</v>
      </c>
      <c r="L131" s="528"/>
      <c r="M131" s="528"/>
    </row>
    <row r="132" spans="1:13" s="42" customFormat="1" ht="20.100000000000001" customHeight="1">
      <c r="A132" s="66">
        <f t="shared" si="43"/>
        <v>35</v>
      </c>
      <c r="B132" s="272" t="s">
        <v>231</v>
      </c>
      <c r="C132" s="273"/>
      <c r="D132" s="274">
        <v>2156.8800759999999</v>
      </c>
      <c r="E132" s="45" t="s">
        <v>38</v>
      </c>
      <c r="F132" s="46">
        <f t="shared" si="42"/>
        <v>15000</v>
      </c>
      <c r="G132" s="275">
        <f t="shared" si="40"/>
        <v>32353201.140000001</v>
      </c>
      <c r="H132" s="535"/>
      <c r="I132" s="46">
        <v>28909.375000000004</v>
      </c>
      <c r="J132" s="560">
        <f t="shared" si="26"/>
        <v>62354054.947112508</v>
      </c>
      <c r="K132" s="576">
        <f t="shared" si="21"/>
        <v>51.886282564047129</v>
      </c>
      <c r="L132" s="528"/>
      <c r="M132" s="528"/>
    </row>
    <row r="133" spans="1:13" s="42" customFormat="1" ht="20.100000000000001" customHeight="1">
      <c r="A133" s="48"/>
      <c r="B133" s="172"/>
      <c r="C133" s="172"/>
      <c r="D133" s="49"/>
      <c r="E133" s="50"/>
      <c r="F133" s="51"/>
      <c r="G133" s="52"/>
      <c r="H133" s="535"/>
      <c r="I133" s="51"/>
      <c r="J133" s="560">
        <f t="shared" si="26"/>
        <v>0</v>
      </c>
      <c r="K133" s="560"/>
      <c r="L133" s="528"/>
      <c r="M133" s="528"/>
    </row>
    <row r="134" spans="1:13" s="42" customFormat="1" ht="20.100000000000001" customHeight="1">
      <c r="A134" s="53" t="s">
        <v>170</v>
      </c>
      <c r="B134" s="175" t="s">
        <v>252</v>
      </c>
      <c r="C134" s="176"/>
      <c r="D134" s="54"/>
      <c r="E134" s="55"/>
      <c r="F134" s="56"/>
      <c r="G134" s="57">
        <f>SUM(G135:G163)</f>
        <v>827803111.28999996</v>
      </c>
      <c r="H134" s="535"/>
      <c r="I134" s="56"/>
      <c r="J134" s="560">
        <f t="shared" si="26"/>
        <v>0</v>
      </c>
      <c r="K134" s="560"/>
      <c r="L134" s="528"/>
      <c r="M134" s="528"/>
    </row>
    <row r="135" spans="1:13" s="42" customFormat="1" ht="20.100000000000001" customHeight="1">
      <c r="A135" s="43"/>
      <c r="B135" s="178" t="s">
        <v>49</v>
      </c>
      <c r="C135" s="178"/>
      <c r="D135" s="44"/>
      <c r="E135" s="45"/>
      <c r="F135" s="46"/>
      <c r="G135" s="47"/>
      <c r="H135" s="535"/>
      <c r="I135" s="46"/>
      <c r="J135" s="560">
        <f t="shared" si="26"/>
        <v>0</v>
      </c>
      <c r="K135" s="560"/>
      <c r="L135" s="528"/>
      <c r="M135" s="528"/>
    </row>
    <row r="136" spans="1:13" s="42" customFormat="1" ht="20.100000000000001" customHeight="1">
      <c r="A136" s="271">
        <v>1</v>
      </c>
      <c r="B136" s="272" t="s">
        <v>37</v>
      </c>
      <c r="C136" s="273"/>
      <c r="D136" s="274">
        <v>239.33756500000001</v>
      </c>
      <c r="E136" s="45" t="s">
        <v>38</v>
      </c>
      <c r="F136" s="46">
        <f>F115</f>
        <v>50000</v>
      </c>
      <c r="G136" s="275">
        <f t="shared" ref="G136:G144" si="44">D136*F136</f>
        <v>11966878.25</v>
      </c>
      <c r="H136" s="535"/>
      <c r="I136" s="46">
        <v>68612.5</v>
      </c>
      <c r="J136" s="560">
        <f t="shared" si="26"/>
        <v>16421548.678562501</v>
      </c>
      <c r="K136" s="560">
        <f t="shared" si="21"/>
        <v>72.873018764802339</v>
      </c>
      <c r="L136" s="528"/>
      <c r="M136" s="528"/>
    </row>
    <row r="137" spans="1:13" s="42" customFormat="1" ht="20.100000000000001" customHeight="1">
      <c r="A137" s="271">
        <f t="shared" ref="A137:A145" si="45">A136+1</f>
        <v>2</v>
      </c>
      <c r="B137" s="272" t="s">
        <v>10</v>
      </c>
      <c r="C137" s="273"/>
      <c r="D137" s="274">
        <v>17.526949999999999</v>
      </c>
      <c r="E137" s="45" t="s">
        <v>38</v>
      </c>
      <c r="F137" s="46">
        <f t="shared" ref="F137:F144" si="46">F116</f>
        <v>350000</v>
      </c>
      <c r="G137" s="275">
        <f t="shared" si="44"/>
        <v>6134432.5</v>
      </c>
      <c r="H137" s="535"/>
      <c r="I137" s="46">
        <v>257207.50000000003</v>
      </c>
      <c r="J137" s="560">
        <f t="shared" si="26"/>
        <v>4508062.9921250008</v>
      </c>
      <c r="K137" s="575">
        <f t="shared" si="21"/>
        <v>136.07690288969022</v>
      </c>
      <c r="L137" s="528"/>
      <c r="M137" s="528"/>
    </row>
    <row r="138" spans="1:13" s="42" customFormat="1" ht="20.100000000000001" customHeight="1">
      <c r="A138" s="271">
        <f t="shared" si="45"/>
        <v>3</v>
      </c>
      <c r="B138" s="272" t="s">
        <v>50</v>
      </c>
      <c r="C138" s="273"/>
      <c r="D138" s="274">
        <v>432.48477999999994</v>
      </c>
      <c r="E138" s="45" t="s">
        <v>38</v>
      </c>
      <c r="F138" s="46">
        <f t="shared" si="46"/>
        <v>900000</v>
      </c>
      <c r="G138" s="275">
        <f t="shared" si="44"/>
        <v>389236301.99999994</v>
      </c>
      <c r="H138" s="535"/>
      <c r="I138" s="46">
        <v>1120599.7000000002</v>
      </c>
      <c r="J138" s="560">
        <f t="shared" si="26"/>
        <v>484642314.72256601</v>
      </c>
      <c r="K138" s="560">
        <f t="shared" si="21"/>
        <v>80.314138938284557</v>
      </c>
      <c r="L138" s="528"/>
      <c r="M138" s="528"/>
    </row>
    <row r="139" spans="1:13" s="42" customFormat="1" ht="20.100000000000001" customHeight="1">
      <c r="A139" s="271">
        <f t="shared" si="45"/>
        <v>4</v>
      </c>
      <c r="B139" s="272" t="s">
        <v>51</v>
      </c>
      <c r="C139" s="273"/>
      <c r="D139" s="274">
        <v>214.214</v>
      </c>
      <c r="E139" s="45" t="s">
        <v>52</v>
      </c>
      <c r="F139" s="46">
        <f t="shared" si="46"/>
        <v>35000</v>
      </c>
      <c r="G139" s="275">
        <f t="shared" si="44"/>
        <v>7497490</v>
      </c>
      <c r="H139" s="535"/>
      <c r="I139" s="46">
        <v>23500</v>
      </c>
      <c r="J139" s="560">
        <f t="shared" si="26"/>
        <v>5034029</v>
      </c>
      <c r="K139" s="575">
        <f t="shared" si="21"/>
        <v>148.93617021276594</v>
      </c>
      <c r="L139" s="528"/>
      <c r="M139" s="528"/>
    </row>
    <row r="140" spans="1:13" s="42" customFormat="1" ht="20.100000000000001" customHeight="1">
      <c r="A140" s="271">
        <f t="shared" si="45"/>
        <v>5</v>
      </c>
      <c r="B140" s="272" t="s">
        <v>116</v>
      </c>
      <c r="C140" s="273"/>
      <c r="D140" s="274">
        <v>225.49367999999998</v>
      </c>
      <c r="E140" s="45" t="s">
        <v>40</v>
      </c>
      <c r="F140" s="46">
        <f t="shared" si="46"/>
        <v>60000</v>
      </c>
      <c r="G140" s="275">
        <f t="shared" si="44"/>
        <v>13529620.799999999</v>
      </c>
      <c r="H140" s="535"/>
      <c r="I140" s="46">
        <v>111088.2828</v>
      </c>
      <c r="J140" s="560">
        <f t="shared" si="26"/>
        <v>25049705.693452701</v>
      </c>
      <c r="K140" s="576">
        <f t="shared" si="21"/>
        <v>54.011096839098862</v>
      </c>
      <c r="L140" s="528"/>
      <c r="M140" s="528"/>
    </row>
    <row r="141" spans="1:13" s="42" customFormat="1" ht="20.100000000000001" customHeight="1">
      <c r="A141" s="66">
        <f t="shared" ref="A141:A142" si="47">1+A140</f>
        <v>6</v>
      </c>
      <c r="B141" s="272" t="s">
        <v>18</v>
      </c>
      <c r="C141" s="273"/>
      <c r="D141" s="274">
        <v>239.33520000000001</v>
      </c>
      <c r="E141" s="45" t="s">
        <v>40</v>
      </c>
      <c r="F141" s="46">
        <f t="shared" si="46"/>
        <v>40000</v>
      </c>
      <c r="G141" s="275">
        <f t="shared" si="44"/>
        <v>9573408</v>
      </c>
      <c r="H141" s="535"/>
      <c r="I141" s="46">
        <v>45665.675000000003</v>
      </c>
      <c r="J141" s="560">
        <f t="shared" si="26"/>
        <v>10929403.459260002</v>
      </c>
      <c r="K141" s="560">
        <f t="shared" si="21"/>
        <v>87.5931429897839</v>
      </c>
      <c r="L141" s="528"/>
      <c r="M141" s="528"/>
    </row>
    <row r="142" spans="1:13" s="42" customFormat="1" ht="20.100000000000001" customHeight="1">
      <c r="A142" s="66">
        <f t="shared" si="47"/>
        <v>7</v>
      </c>
      <c r="B142" s="272" t="s">
        <v>54</v>
      </c>
      <c r="C142" s="273"/>
      <c r="D142" s="274">
        <v>680.98519999999996</v>
      </c>
      <c r="E142" s="45" t="s">
        <v>40</v>
      </c>
      <c r="F142" s="46">
        <f t="shared" si="46"/>
        <v>62000</v>
      </c>
      <c r="G142" s="275">
        <f t="shared" si="44"/>
        <v>42221082.399999999</v>
      </c>
      <c r="H142" s="535"/>
      <c r="I142" s="46">
        <v>74545.08600000001</v>
      </c>
      <c r="J142" s="560">
        <f t="shared" si="26"/>
        <v>50764100.298727207</v>
      </c>
      <c r="K142" s="560">
        <f t="shared" ref="K142:K204" si="48">F142/I142*100</f>
        <v>83.171142897333283</v>
      </c>
      <c r="L142" s="528"/>
      <c r="M142" s="528"/>
    </row>
    <row r="143" spans="1:13" s="42" customFormat="1" ht="20.100000000000001" customHeight="1">
      <c r="A143" s="271">
        <f t="shared" si="45"/>
        <v>8</v>
      </c>
      <c r="B143" s="272" t="s">
        <v>232</v>
      </c>
      <c r="C143" s="273"/>
      <c r="D143" s="274">
        <v>287.20507800000001</v>
      </c>
      <c r="E143" s="45" t="s">
        <v>38</v>
      </c>
      <c r="F143" s="46">
        <f>F91</f>
        <v>35000</v>
      </c>
      <c r="G143" s="275">
        <f t="shared" si="44"/>
        <v>10052177.73</v>
      </c>
      <c r="H143" s="535"/>
      <c r="I143" s="46">
        <v>26381.666666666668</v>
      </c>
      <c r="J143" s="560">
        <f t="shared" si="26"/>
        <v>7576948.632770001</v>
      </c>
      <c r="K143" s="575">
        <f t="shared" si="48"/>
        <v>132.66788805357254</v>
      </c>
      <c r="L143" s="528"/>
      <c r="M143" s="528"/>
    </row>
    <row r="144" spans="1:13" s="42" customFormat="1" ht="20.100000000000001" customHeight="1">
      <c r="A144" s="271">
        <f t="shared" si="45"/>
        <v>9</v>
      </c>
      <c r="B144" s="272" t="s">
        <v>246</v>
      </c>
      <c r="C144" s="273"/>
      <c r="D144" s="274">
        <v>1532.9590500000002</v>
      </c>
      <c r="E144" s="45" t="s">
        <v>38</v>
      </c>
      <c r="F144" s="46">
        <f t="shared" si="46"/>
        <v>15000</v>
      </c>
      <c r="G144" s="275">
        <f t="shared" si="44"/>
        <v>22994385.750000004</v>
      </c>
      <c r="H144" s="535"/>
      <c r="I144" s="46">
        <v>53256</v>
      </c>
      <c r="J144" s="560">
        <f t="shared" si="26"/>
        <v>81639267.166800007</v>
      </c>
      <c r="K144" s="576">
        <f t="shared" si="48"/>
        <v>28.165840468679587</v>
      </c>
      <c r="L144" s="528"/>
      <c r="M144" s="528"/>
    </row>
    <row r="145" spans="1:13" s="42" customFormat="1" ht="20.100000000000001" customHeight="1">
      <c r="A145" s="271">
        <f t="shared" si="45"/>
        <v>10</v>
      </c>
      <c r="B145" s="272" t="s">
        <v>400</v>
      </c>
      <c r="C145" s="273"/>
      <c r="D145" s="274">
        <v>46.594499999999996</v>
      </c>
      <c r="E145" s="45" t="s">
        <v>38</v>
      </c>
      <c r="F145" s="46">
        <f>F144</f>
        <v>15000</v>
      </c>
      <c r="G145" s="275">
        <f t="shared" ref="G145" si="49">D145*F145</f>
        <v>698917.5</v>
      </c>
      <c r="H145" s="535"/>
      <c r="I145" s="46">
        <v>250318.75000000003</v>
      </c>
      <c r="J145" s="560">
        <f t="shared" si="26"/>
        <v>11663476.996875001</v>
      </c>
      <c r="K145" s="576">
        <f t="shared" si="48"/>
        <v>5.9923597413298033</v>
      </c>
      <c r="L145" s="528"/>
      <c r="M145" s="528"/>
    </row>
    <row r="146" spans="1:13" s="42" customFormat="1" ht="20.100000000000001" customHeight="1">
      <c r="A146" s="43"/>
      <c r="B146" s="178" t="s">
        <v>55</v>
      </c>
      <c r="C146" s="178"/>
      <c r="D146" s="44"/>
      <c r="E146" s="45"/>
      <c r="F146" s="46"/>
      <c r="G146" s="47"/>
      <c r="H146" s="535"/>
      <c r="I146" s="46"/>
      <c r="J146" s="560">
        <f t="shared" si="26"/>
        <v>0</v>
      </c>
      <c r="K146" s="560"/>
      <c r="L146" s="528"/>
      <c r="M146" s="528"/>
    </row>
    <row r="147" spans="1:13" s="42" customFormat="1" ht="20.100000000000001" customHeight="1">
      <c r="A147" s="271">
        <f>1+A145</f>
        <v>11</v>
      </c>
      <c r="B147" s="272" t="s">
        <v>37</v>
      </c>
      <c r="C147" s="273"/>
      <c r="D147" s="274">
        <v>146.86307399999998</v>
      </c>
      <c r="E147" s="45" t="s">
        <v>38</v>
      </c>
      <c r="F147" s="46">
        <f>F136</f>
        <v>50000</v>
      </c>
      <c r="G147" s="275">
        <f t="shared" ref="G147:G154" si="50">D147*F147</f>
        <v>7343153.6999999993</v>
      </c>
      <c r="H147" s="535"/>
      <c r="I147" s="46">
        <v>68612.5</v>
      </c>
      <c r="J147" s="560">
        <f t="shared" si="26"/>
        <v>10076642.664824998</v>
      </c>
      <c r="K147" s="560">
        <f t="shared" si="48"/>
        <v>72.873018764802339</v>
      </c>
      <c r="L147" s="528"/>
      <c r="M147" s="528"/>
    </row>
    <row r="148" spans="1:13" s="42" customFormat="1" ht="20.100000000000001" customHeight="1">
      <c r="A148" s="271">
        <f t="shared" ref="A148:A154" si="51">A147+1</f>
        <v>12</v>
      </c>
      <c r="B148" s="272" t="s">
        <v>10</v>
      </c>
      <c r="C148" s="273"/>
      <c r="D148" s="274">
        <v>7.7734500000000004</v>
      </c>
      <c r="E148" s="45" t="s">
        <v>38</v>
      </c>
      <c r="F148" s="46">
        <f t="shared" ref="F148:F154" si="52">F137</f>
        <v>350000</v>
      </c>
      <c r="G148" s="275">
        <f t="shared" si="50"/>
        <v>2720707.5</v>
      </c>
      <c r="H148" s="535"/>
      <c r="I148" s="46">
        <v>257207.50000000003</v>
      </c>
      <c r="J148" s="560">
        <f t="shared" si="26"/>
        <v>1999389.6408750003</v>
      </c>
      <c r="K148" s="575">
        <f t="shared" si="48"/>
        <v>136.07690288969022</v>
      </c>
      <c r="L148" s="528"/>
      <c r="M148" s="528"/>
    </row>
    <row r="149" spans="1:13" s="42" customFormat="1" ht="20.100000000000001" customHeight="1">
      <c r="A149" s="271">
        <f t="shared" si="51"/>
        <v>13</v>
      </c>
      <c r="B149" s="272" t="s">
        <v>50</v>
      </c>
      <c r="C149" s="273"/>
      <c r="D149" s="274">
        <v>191.78895</v>
      </c>
      <c r="E149" s="45" t="s">
        <v>38</v>
      </c>
      <c r="F149" s="46">
        <f t="shared" si="52"/>
        <v>900000</v>
      </c>
      <c r="G149" s="275">
        <f t="shared" si="50"/>
        <v>172610055</v>
      </c>
      <c r="H149" s="535"/>
      <c r="I149" s="46">
        <v>1120599.7000000002</v>
      </c>
      <c r="J149" s="560">
        <f t="shared" si="26"/>
        <v>214918639.83331504</v>
      </c>
      <c r="K149" s="560">
        <f t="shared" si="48"/>
        <v>80.314138938284557</v>
      </c>
      <c r="L149" s="528"/>
      <c r="M149" s="528"/>
    </row>
    <row r="150" spans="1:13" s="42" customFormat="1" ht="20.100000000000001" customHeight="1">
      <c r="A150" s="271">
        <f t="shared" si="51"/>
        <v>14</v>
      </c>
      <c r="B150" s="272" t="s">
        <v>51</v>
      </c>
      <c r="C150" s="273"/>
      <c r="D150" s="274">
        <v>94.841499999999996</v>
      </c>
      <c r="E150" s="45" t="s">
        <v>52</v>
      </c>
      <c r="F150" s="46">
        <f t="shared" si="52"/>
        <v>35000</v>
      </c>
      <c r="G150" s="275">
        <f t="shared" si="50"/>
        <v>3319452.5</v>
      </c>
      <c r="H150" s="535"/>
      <c r="I150" s="46">
        <v>23500</v>
      </c>
      <c r="J150" s="560">
        <f t="shared" si="26"/>
        <v>2228775.25</v>
      </c>
      <c r="K150" s="575">
        <f t="shared" si="48"/>
        <v>148.93617021276594</v>
      </c>
      <c r="L150" s="528"/>
      <c r="M150" s="528"/>
    </row>
    <row r="151" spans="1:13" s="42" customFormat="1" ht="20.100000000000001" customHeight="1">
      <c r="A151" s="271">
        <f t="shared" si="51"/>
        <v>15</v>
      </c>
      <c r="B151" s="272" t="s">
        <v>116</v>
      </c>
      <c r="C151" s="273"/>
      <c r="D151" s="274">
        <v>100.16007999999999</v>
      </c>
      <c r="E151" s="45" t="s">
        <v>40</v>
      </c>
      <c r="F151" s="46">
        <f t="shared" si="52"/>
        <v>60000</v>
      </c>
      <c r="G151" s="275">
        <f t="shared" si="50"/>
        <v>6009604.7999999998</v>
      </c>
      <c r="H151" s="535"/>
      <c r="I151" s="46">
        <v>111088.2828</v>
      </c>
      <c r="J151" s="560">
        <f t="shared" si="26"/>
        <v>11126611.292310623</v>
      </c>
      <c r="K151" s="576">
        <f t="shared" si="48"/>
        <v>54.011096839098862</v>
      </c>
      <c r="L151" s="528"/>
      <c r="M151" s="528"/>
    </row>
    <row r="152" spans="1:13" s="42" customFormat="1" ht="20.100000000000001" customHeight="1">
      <c r="A152" s="66">
        <f t="shared" ref="A152:A153" si="53">1+A151</f>
        <v>16</v>
      </c>
      <c r="B152" s="272" t="s">
        <v>18</v>
      </c>
      <c r="C152" s="273"/>
      <c r="D152" s="274">
        <v>106.28830000000001</v>
      </c>
      <c r="E152" s="45" t="s">
        <v>40</v>
      </c>
      <c r="F152" s="46">
        <f t="shared" si="52"/>
        <v>40000</v>
      </c>
      <c r="G152" s="275">
        <f t="shared" si="50"/>
        <v>4251532</v>
      </c>
      <c r="H152" s="535"/>
      <c r="I152" s="46">
        <v>45665.675000000003</v>
      </c>
      <c r="J152" s="560">
        <f t="shared" si="26"/>
        <v>4853726.964102501</v>
      </c>
      <c r="K152" s="560">
        <f t="shared" si="48"/>
        <v>87.5931429897839</v>
      </c>
      <c r="L152" s="528"/>
      <c r="M152" s="528"/>
    </row>
    <row r="153" spans="1:13" s="42" customFormat="1" ht="20.100000000000001" customHeight="1">
      <c r="A153" s="66">
        <f t="shared" si="53"/>
        <v>17</v>
      </c>
      <c r="B153" s="272" t="s">
        <v>54</v>
      </c>
      <c r="C153" s="273"/>
      <c r="D153" s="274">
        <v>302.09009999999995</v>
      </c>
      <c r="E153" s="45" t="s">
        <v>40</v>
      </c>
      <c r="F153" s="46">
        <f t="shared" si="52"/>
        <v>62000</v>
      </c>
      <c r="G153" s="275">
        <f t="shared" si="50"/>
        <v>18729586.199999996</v>
      </c>
      <c r="H153" s="535"/>
      <c r="I153" s="46">
        <v>74545.08600000001</v>
      </c>
      <c r="J153" s="560">
        <f t="shared" si="26"/>
        <v>22519332.484248601</v>
      </c>
      <c r="K153" s="560">
        <f t="shared" si="48"/>
        <v>83.171142897333283</v>
      </c>
      <c r="L153" s="528"/>
      <c r="M153" s="528"/>
    </row>
    <row r="154" spans="1:13" s="42" customFormat="1" ht="20.100000000000001" customHeight="1">
      <c r="A154" s="271">
        <f t="shared" si="51"/>
        <v>18</v>
      </c>
      <c r="B154" s="272" t="s">
        <v>232</v>
      </c>
      <c r="C154" s="273"/>
      <c r="D154" s="274">
        <v>176.23568879999999</v>
      </c>
      <c r="E154" s="45" t="s">
        <v>38</v>
      </c>
      <c r="F154" s="46">
        <f t="shared" si="52"/>
        <v>35000</v>
      </c>
      <c r="G154" s="275">
        <f t="shared" si="50"/>
        <v>6168249.108</v>
      </c>
      <c r="H154" s="535"/>
      <c r="I154" s="46">
        <v>26381.666666666668</v>
      </c>
      <c r="J154" s="560">
        <f t="shared" si="26"/>
        <v>4649391.1966920001</v>
      </c>
      <c r="K154" s="575">
        <f t="shared" si="48"/>
        <v>132.66788805357254</v>
      </c>
      <c r="L154" s="528"/>
      <c r="M154" s="528"/>
    </row>
    <row r="155" spans="1:13" s="42" customFormat="1" ht="20.100000000000001" customHeight="1">
      <c r="A155" s="43"/>
      <c r="B155" s="178" t="s">
        <v>243</v>
      </c>
      <c r="C155" s="178"/>
      <c r="D155" s="44"/>
      <c r="E155" s="45"/>
      <c r="F155" s="46"/>
      <c r="G155" s="47"/>
      <c r="H155" s="535"/>
      <c r="I155" s="46"/>
      <c r="J155" s="560">
        <f t="shared" si="26"/>
        <v>0</v>
      </c>
      <c r="K155" s="560"/>
      <c r="L155" s="528"/>
      <c r="M155" s="528"/>
    </row>
    <row r="156" spans="1:13" s="42" customFormat="1" ht="20.100000000000001" customHeight="1">
      <c r="A156" s="271">
        <f>1+A154</f>
        <v>19</v>
      </c>
      <c r="B156" s="272" t="s">
        <v>37</v>
      </c>
      <c r="C156" s="273"/>
      <c r="D156" s="274">
        <v>61.428731000000006</v>
      </c>
      <c r="E156" s="45" t="s">
        <v>38</v>
      </c>
      <c r="F156" s="46">
        <f>F147</f>
        <v>50000</v>
      </c>
      <c r="G156" s="275">
        <f t="shared" ref="G156:G163" si="54">D156*F156</f>
        <v>3071436.5500000003</v>
      </c>
      <c r="H156" s="535"/>
      <c r="I156" s="46">
        <v>68612.5</v>
      </c>
      <c r="J156" s="560">
        <f t="shared" si="26"/>
        <v>4214778.8057375001</v>
      </c>
      <c r="K156" s="560">
        <f t="shared" si="48"/>
        <v>72.873018764802339</v>
      </c>
      <c r="L156" s="528"/>
      <c r="M156" s="528"/>
    </row>
    <row r="157" spans="1:13" s="42" customFormat="1" ht="20.100000000000001" customHeight="1">
      <c r="A157" s="271">
        <f t="shared" ref="A157:A163" si="55">A156+1</f>
        <v>20</v>
      </c>
      <c r="B157" s="272" t="s">
        <v>10</v>
      </c>
      <c r="C157" s="273"/>
      <c r="D157" s="274">
        <v>3.2610500000000004</v>
      </c>
      <c r="E157" s="45" t="s">
        <v>38</v>
      </c>
      <c r="F157" s="46">
        <f t="shared" ref="F157:F163" si="56">F148</f>
        <v>350000</v>
      </c>
      <c r="G157" s="275">
        <f t="shared" si="54"/>
        <v>1141367.5000000002</v>
      </c>
      <c r="H157" s="535"/>
      <c r="I157" s="46">
        <v>257207.50000000003</v>
      </c>
      <c r="J157" s="560">
        <f t="shared" si="26"/>
        <v>838766.51787500025</v>
      </c>
      <c r="K157" s="575">
        <f t="shared" si="48"/>
        <v>136.07690288969022</v>
      </c>
      <c r="L157" s="528"/>
      <c r="M157" s="528"/>
    </row>
    <row r="158" spans="1:13" s="42" customFormat="1" ht="20.100000000000001" customHeight="1">
      <c r="A158" s="271">
        <f t="shared" si="55"/>
        <v>21</v>
      </c>
      <c r="B158" s="272" t="s">
        <v>50</v>
      </c>
      <c r="C158" s="273"/>
      <c r="D158" s="274">
        <v>80.422420000000002</v>
      </c>
      <c r="E158" s="45" t="s">
        <v>38</v>
      </c>
      <c r="F158" s="46">
        <f t="shared" si="56"/>
        <v>900000</v>
      </c>
      <c r="G158" s="275">
        <f t="shared" si="54"/>
        <v>72380178</v>
      </c>
      <c r="H158" s="535"/>
      <c r="I158" s="46">
        <v>1120599.7000000002</v>
      </c>
      <c r="J158" s="560">
        <f t="shared" si="26"/>
        <v>90121339.725274011</v>
      </c>
      <c r="K158" s="560">
        <f t="shared" si="48"/>
        <v>80.314138938284557</v>
      </c>
      <c r="L158" s="528"/>
      <c r="M158" s="528"/>
    </row>
    <row r="159" spans="1:13" s="42" customFormat="1" ht="20.100000000000001" customHeight="1">
      <c r="A159" s="271">
        <f t="shared" si="55"/>
        <v>22</v>
      </c>
      <c r="B159" s="272" t="s">
        <v>51</v>
      </c>
      <c r="C159" s="273"/>
      <c r="D159" s="274">
        <v>39.546000000000006</v>
      </c>
      <c r="E159" s="45" t="s">
        <v>52</v>
      </c>
      <c r="F159" s="46">
        <f t="shared" si="56"/>
        <v>35000</v>
      </c>
      <c r="G159" s="275">
        <f t="shared" si="54"/>
        <v>1384110.0000000002</v>
      </c>
      <c r="H159" s="535"/>
      <c r="I159" s="46">
        <v>23500</v>
      </c>
      <c r="J159" s="560">
        <f t="shared" ref="J159:J163" si="57">D159*I159</f>
        <v>929331.00000000012</v>
      </c>
      <c r="K159" s="575">
        <f t="shared" si="48"/>
        <v>148.93617021276594</v>
      </c>
      <c r="L159" s="528"/>
      <c r="M159" s="528"/>
    </row>
    <row r="160" spans="1:13" s="42" customFormat="1" ht="20.100000000000001" customHeight="1">
      <c r="A160" s="271">
        <f t="shared" si="55"/>
        <v>23</v>
      </c>
      <c r="B160" s="272" t="s">
        <v>116</v>
      </c>
      <c r="C160" s="273"/>
      <c r="D160" s="274">
        <v>42.237520000000004</v>
      </c>
      <c r="E160" s="45" t="s">
        <v>40</v>
      </c>
      <c r="F160" s="46">
        <f t="shared" si="56"/>
        <v>60000</v>
      </c>
      <c r="G160" s="275">
        <f t="shared" si="54"/>
        <v>2534251.2000000002</v>
      </c>
      <c r="H160" s="535"/>
      <c r="I160" s="46">
        <v>111088.2828</v>
      </c>
      <c r="J160" s="560">
        <f t="shared" si="57"/>
        <v>4692093.5665306561</v>
      </c>
      <c r="K160" s="560">
        <f t="shared" si="48"/>
        <v>54.011096839098862</v>
      </c>
      <c r="L160" s="528"/>
      <c r="M160" s="528"/>
    </row>
    <row r="161" spans="1:13" s="42" customFormat="1" ht="20.100000000000001" customHeight="1">
      <c r="A161" s="66">
        <f t="shared" ref="A161:A162" si="58">1+A160</f>
        <v>24</v>
      </c>
      <c r="B161" s="272" t="s">
        <v>18</v>
      </c>
      <c r="C161" s="273"/>
      <c r="D161" s="274">
        <v>44.7928</v>
      </c>
      <c r="E161" s="45" t="s">
        <v>40</v>
      </c>
      <c r="F161" s="46">
        <f t="shared" si="56"/>
        <v>40000</v>
      </c>
      <c r="G161" s="275">
        <f t="shared" si="54"/>
        <v>1791712</v>
      </c>
      <c r="H161" s="535"/>
      <c r="I161" s="46">
        <v>45665.675000000003</v>
      </c>
      <c r="J161" s="560">
        <f t="shared" si="57"/>
        <v>2045493.4471400001</v>
      </c>
      <c r="K161" s="560">
        <f t="shared" si="48"/>
        <v>87.5931429897839</v>
      </c>
      <c r="L161" s="528"/>
      <c r="M161" s="528"/>
    </row>
    <row r="162" spans="1:13" s="42" customFormat="1" ht="20.100000000000001" customHeight="1">
      <c r="A162" s="66">
        <f t="shared" si="58"/>
        <v>25</v>
      </c>
      <c r="B162" s="272" t="s">
        <v>54</v>
      </c>
      <c r="C162" s="273"/>
      <c r="D162" s="274">
        <v>126.8228</v>
      </c>
      <c r="E162" s="45" t="s">
        <v>40</v>
      </c>
      <c r="F162" s="46">
        <f t="shared" si="56"/>
        <v>62000</v>
      </c>
      <c r="G162" s="275">
        <f t="shared" si="54"/>
        <v>7863013.5999999996</v>
      </c>
      <c r="H162" s="535"/>
      <c r="I162" s="46">
        <v>74545.08600000001</v>
      </c>
      <c r="J162" s="560">
        <f t="shared" si="57"/>
        <v>9454016.5327608008</v>
      </c>
      <c r="K162" s="560">
        <f t="shared" si="48"/>
        <v>83.171142897333283</v>
      </c>
      <c r="L162" s="528"/>
      <c r="M162" s="528"/>
    </row>
    <row r="163" spans="1:13" s="42" customFormat="1" ht="20.100000000000001" customHeight="1">
      <c r="A163" s="271">
        <f t="shared" si="55"/>
        <v>26</v>
      </c>
      <c r="B163" s="272" t="s">
        <v>232</v>
      </c>
      <c r="C163" s="273"/>
      <c r="D163" s="274">
        <v>73.714477200000005</v>
      </c>
      <c r="E163" s="45" t="s">
        <v>38</v>
      </c>
      <c r="F163" s="46">
        <f t="shared" si="56"/>
        <v>35000</v>
      </c>
      <c r="G163" s="275">
        <f t="shared" si="54"/>
        <v>2580006.702</v>
      </c>
      <c r="H163" s="535"/>
      <c r="I163" s="46">
        <v>26381.666666666668</v>
      </c>
      <c r="J163" s="560">
        <f t="shared" si="57"/>
        <v>1944710.7659980003</v>
      </c>
      <c r="K163" s="575">
        <f t="shared" si="48"/>
        <v>132.66788805357254</v>
      </c>
      <c r="L163" s="528"/>
      <c r="M163" s="528"/>
    </row>
    <row r="164" spans="1:13" s="42" customFormat="1" ht="20.100000000000001" customHeight="1">
      <c r="A164" s="148"/>
      <c r="B164" s="179"/>
      <c r="C164" s="180"/>
      <c r="D164" s="156"/>
      <c r="E164" s="157"/>
      <c r="F164" s="158"/>
      <c r="G164" s="159"/>
      <c r="H164" s="535"/>
      <c r="I164" s="543"/>
      <c r="J164" s="566"/>
      <c r="K164" s="560"/>
      <c r="L164" s="528"/>
      <c r="M164" s="528"/>
    </row>
    <row r="165" spans="1:13" s="42" customFormat="1" ht="20.100000000000001" customHeight="1">
      <c r="A165" s="76" t="s">
        <v>155</v>
      </c>
      <c r="B165" s="181" t="s">
        <v>154</v>
      </c>
      <c r="C165" s="182"/>
      <c r="D165" s="77"/>
      <c r="E165" s="78"/>
      <c r="F165" s="79"/>
      <c r="G165" s="80">
        <f>SUM(G167:G188)</f>
        <v>87466286</v>
      </c>
      <c r="H165" s="535"/>
      <c r="I165" s="544"/>
      <c r="J165" s="568"/>
      <c r="K165" s="560"/>
      <c r="L165" s="528"/>
      <c r="M165" s="528"/>
    </row>
    <row r="166" spans="1:13" s="42" customFormat="1" ht="20.100000000000001" customHeight="1">
      <c r="A166" s="66"/>
      <c r="B166" s="183" t="s">
        <v>159</v>
      </c>
      <c r="C166" s="184"/>
      <c r="D166" s="64"/>
      <c r="E166" s="65"/>
      <c r="F166" s="82"/>
      <c r="G166" s="67"/>
      <c r="H166" s="535"/>
      <c r="I166" s="545"/>
      <c r="J166" s="567"/>
      <c r="K166" s="560"/>
      <c r="L166" s="528"/>
      <c r="M166" s="528"/>
    </row>
    <row r="167" spans="1:13" s="42" customFormat="1" ht="20.100000000000001" customHeight="1">
      <c r="A167" s="66">
        <v>1</v>
      </c>
      <c r="B167" s="280" t="s">
        <v>37</v>
      </c>
      <c r="C167" s="288"/>
      <c r="D167" s="282">
        <v>70.460299999999989</v>
      </c>
      <c r="E167" s="81" t="s">
        <v>38</v>
      </c>
      <c r="F167" s="283">
        <v>90000</v>
      </c>
      <c r="G167" s="67">
        <f t="shared" ref="G167:G187" si="59">D167*F167</f>
        <v>6341426.9999999991</v>
      </c>
      <c r="H167" s="535"/>
      <c r="I167" s="541">
        <v>68612.5</v>
      </c>
      <c r="J167" s="560">
        <f t="shared" ref="J167:J187" si="60">D167*I167</f>
        <v>4834457.3337499993</v>
      </c>
      <c r="K167" s="575">
        <f t="shared" si="48"/>
        <v>131.17143377664419</v>
      </c>
      <c r="L167" s="528"/>
      <c r="M167" s="528"/>
    </row>
    <row r="168" spans="1:13" s="42" customFormat="1" ht="20.100000000000001" customHeight="1">
      <c r="A168" s="66">
        <f t="shared" ref="A168:A187" si="61">1+A167</f>
        <v>2</v>
      </c>
      <c r="B168" s="272" t="s">
        <v>233</v>
      </c>
      <c r="C168" s="288"/>
      <c r="D168" s="282">
        <v>9.6638350000000006</v>
      </c>
      <c r="E168" s="81" t="s">
        <v>38</v>
      </c>
      <c r="F168" s="283">
        <v>50000</v>
      </c>
      <c r="G168" s="67">
        <f t="shared" si="59"/>
        <v>483191.75000000006</v>
      </c>
      <c r="H168" s="535"/>
      <c r="I168" s="541">
        <v>28909.375000000004</v>
      </c>
      <c r="J168" s="560">
        <f t="shared" si="60"/>
        <v>279375.42995312507</v>
      </c>
      <c r="K168" s="575">
        <f t="shared" si="48"/>
        <v>172.9542752134904</v>
      </c>
      <c r="L168" s="528"/>
      <c r="M168" s="528"/>
    </row>
    <row r="169" spans="1:13" s="42" customFormat="1" ht="20.100000000000001" customHeight="1">
      <c r="A169" s="66">
        <f t="shared" si="61"/>
        <v>3</v>
      </c>
      <c r="B169" s="286" t="s">
        <v>62</v>
      </c>
      <c r="C169" s="281"/>
      <c r="D169" s="282">
        <v>0.98027500000000012</v>
      </c>
      <c r="E169" s="81" t="s">
        <v>38</v>
      </c>
      <c r="F169" s="283">
        <f>F157</f>
        <v>350000</v>
      </c>
      <c r="G169" s="67">
        <f t="shared" si="59"/>
        <v>343096.25000000006</v>
      </c>
      <c r="H169" s="535"/>
      <c r="I169" s="541">
        <v>257207.50000000003</v>
      </c>
      <c r="J169" s="560">
        <f t="shared" si="60"/>
        <v>252134.08206250006</v>
      </c>
      <c r="K169" s="575">
        <f t="shared" si="48"/>
        <v>136.07690288969022</v>
      </c>
      <c r="L169" s="528"/>
      <c r="M169" s="528"/>
    </row>
    <row r="170" spans="1:13" s="42" customFormat="1" ht="20.100000000000001" customHeight="1">
      <c r="A170" s="66">
        <f t="shared" si="61"/>
        <v>4</v>
      </c>
      <c r="B170" s="278" t="s">
        <v>69</v>
      </c>
      <c r="C170" s="184"/>
      <c r="D170" s="64">
        <v>12.260400000000001</v>
      </c>
      <c r="E170" s="65" t="s">
        <v>38</v>
      </c>
      <c r="F170" s="277">
        <v>150000</v>
      </c>
      <c r="G170" s="67">
        <f t="shared" si="59"/>
        <v>1839060</v>
      </c>
      <c r="H170" s="535"/>
      <c r="I170" s="277">
        <v>250318.75000000003</v>
      </c>
      <c r="J170" s="560">
        <f t="shared" si="60"/>
        <v>3069008.0025000004</v>
      </c>
      <c r="K170" s="576">
        <f t="shared" si="48"/>
        <v>59.923597413298033</v>
      </c>
      <c r="L170" s="528"/>
      <c r="M170" s="528"/>
    </row>
    <row r="171" spans="1:13" s="42" customFormat="1" ht="20.100000000000001" customHeight="1">
      <c r="A171" s="66">
        <f t="shared" si="61"/>
        <v>5</v>
      </c>
      <c r="B171" s="286" t="s">
        <v>64</v>
      </c>
      <c r="C171" s="281"/>
      <c r="D171" s="64">
        <v>0.376857</v>
      </c>
      <c r="E171" s="81" t="s">
        <v>70</v>
      </c>
      <c r="F171" s="283">
        <v>800000</v>
      </c>
      <c r="G171" s="67">
        <f t="shared" si="59"/>
        <v>301485.59999999998</v>
      </c>
      <c r="H171" s="535"/>
      <c r="I171" s="541">
        <v>1110010.5092592593</v>
      </c>
      <c r="J171" s="560">
        <f t="shared" si="60"/>
        <v>418315.23048791668</v>
      </c>
      <c r="K171" s="576">
        <f t="shared" si="48"/>
        <v>72.07138971448677</v>
      </c>
      <c r="L171" s="528"/>
      <c r="M171" s="528"/>
    </row>
    <row r="172" spans="1:13" s="42" customFormat="1" ht="20.100000000000001" customHeight="1">
      <c r="A172" s="66">
        <f t="shared" si="61"/>
        <v>6</v>
      </c>
      <c r="B172" s="280" t="s">
        <v>137</v>
      </c>
      <c r="C172" s="281"/>
      <c r="D172" s="64">
        <v>2.0598400000000003</v>
      </c>
      <c r="E172" s="81" t="s">
        <v>70</v>
      </c>
      <c r="F172" s="283">
        <f>F77</f>
        <v>3500000</v>
      </c>
      <c r="G172" s="67">
        <f t="shared" si="59"/>
        <v>7209440.0000000009</v>
      </c>
      <c r="H172" s="535"/>
      <c r="I172" s="541">
        <v>2473894.5462962966</v>
      </c>
      <c r="J172" s="560">
        <f t="shared" si="60"/>
        <v>5095826.9422429642</v>
      </c>
      <c r="K172" s="575">
        <f t="shared" si="48"/>
        <v>141.47733197600928</v>
      </c>
      <c r="L172" s="528"/>
      <c r="M172" s="528"/>
    </row>
    <row r="173" spans="1:13" s="42" customFormat="1" ht="20.100000000000001" customHeight="1">
      <c r="A173" s="66">
        <f t="shared" si="61"/>
        <v>7</v>
      </c>
      <c r="B173" s="280" t="s">
        <v>157</v>
      </c>
      <c r="C173" s="281"/>
      <c r="D173" s="64">
        <v>0.81900000000000006</v>
      </c>
      <c r="E173" s="81" t="s">
        <v>70</v>
      </c>
      <c r="F173" s="537">
        <v>5500000</v>
      </c>
      <c r="G173" s="67">
        <f t="shared" si="59"/>
        <v>4504500</v>
      </c>
      <c r="H173" s="535"/>
      <c r="I173" s="541">
        <v>4433477.0833333349</v>
      </c>
      <c r="J173" s="560">
        <f t="shared" si="60"/>
        <v>3631017.7312500016</v>
      </c>
      <c r="K173" s="575">
        <f t="shared" si="48"/>
        <v>124.05612787931216</v>
      </c>
      <c r="L173" s="528"/>
      <c r="M173" s="528"/>
    </row>
    <row r="174" spans="1:13" s="42" customFormat="1" ht="20.100000000000001" customHeight="1">
      <c r="A174" s="66">
        <f t="shared" si="61"/>
        <v>8</v>
      </c>
      <c r="B174" s="280" t="s">
        <v>160</v>
      </c>
      <c r="C174" s="281"/>
      <c r="D174" s="64">
        <v>0.45624999999999999</v>
      </c>
      <c r="E174" s="81" t="s">
        <v>70</v>
      </c>
      <c r="F174" s="537">
        <f>F173</f>
        <v>5500000</v>
      </c>
      <c r="G174" s="67">
        <f t="shared" si="59"/>
        <v>2509375</v>
      </c>
      <c r="H174" s="535"/>
      <c r="I174" s="541">
        <v>4433477.0833333349</v>
      </c>
      <c r="J174" s="560">
        <f t="shared" si="60"/>
        <v>2022773.919270834</v>
      </c>
      <c r="K174" s="575">
        <f t="shared" si="48"/>
        <v>124.05612787931216</v>
      </c>
      <c r="L174" s="528"/>
      <c r="M174" s="528"/>
    </row>
    <row r="175" spans="1:13" s="42" customFormat="1" ht="20.100000000000001" customHeight="1">
      <c r="A175" s="66">
        <f t="shared" si="61"/>
        <v>9</v>
      </c>
      <c r="B175" s="280" t="s">
        <v>85</v>
      </c>
      <c r="C175" s="281"/>
      <c r="D175" s="64">
        <v>0.78125</v>
      </c>
      <c r="E175" s="81" t="s">
        <v>70</v>
      </c>
      <c r="F175" s="537">
        <v>6000000</v>
      </c>
      <c r="G175" s="67">
        <f t="shared" si="59"/>
        <v>4687500</v>
      </c>
      <c r="H175" s="535"/>
      <c r="I175" s="541">
        <v>6983399.8048192775</v>
      </c>
      <c r="J175" s="560">
        <f t="shared" si="60"/>
        <v>5455781.0975150606</v>
      </c>
      <c r="K175" s="560">
        <f t="shared" si="48"/>
        <v>85.918036596721436</v>
      </c>
      <c r="L175" s="528"/>
      <c r="M175" s="528"/>
    </row>
    <row r="176" spans="1:13" s="42" customFormat="1" ht="20.100000000000001" customHeight="1">
      <c r="A176" s="66">
        <f t="shared" si="61"/>
        <v>10</v>
      </c>
      <c r="B176" s="280" t="s">
        <v>87</v>
      </c>
      <c r="C176" s="281"/>
      <c r="D176" s="64">
        <v>0.375</v>
      </c>
      <c r="E176" s="81" t="s">
        <v>70</v>
      </c>
      <c r="F176" s="537">
        <f t="shared" ref="F176:F178" si="62">F175</f>
        <v>6000000</v>
      </c>
      <c r="G176" s="67">
        <f t="shared" si="59"/>
        <v>2250000</v>
      </c>
      <c r="H176" s="535"/>
      <c r="I176" s="541">
        <v>6983399.8048192775</v>
      </c>
      <c r="J176" s="560">
        <f t="shared" si="60"/>
        <v>2618774.9268072289</v>
      </c>
      <c r="K176" s="560">
        <f t="shared" si="48"/>
        <v>85.918036596721436</v>
      </c>
      <c r="L176" s="528"/>
      <c r="M176" s="528"/>
    </row>
    <row r="177" spans="1:13" s="42" customFormat="1" ht="20.100000000000001" customHeight="1">
      <c r="A177" s="66">
        <f t="shared" si="61"/>
        <v>11</v>
      </c>
      <c r="B177" s="280" t="s">
        <v>86</v>
      </c>
      <c r="C177" s="281"/>
      <c r="D177" s="64">
        <v>0.4375</v>
      </c>
      <c r="E177" s="81" t="s">
        <v>70</v>
      </c>
      <c r="F177" s="537">
        <f t="shared" si="62"/>
        <v>6000000</v>
      </c>
      <c r="G177" s="67">
        <f t="shared" si="59"/>
        <v>2625000</v>
      </c>
      <c r="H177" s="535"/>
      <c r="I177" s="541">
        <v>4055465.7596385544</v>
      </c>
      <c r="J177" s="560">
        <f t="shared" si="60"/>
        <v>1774266.2698418675</v>
      </c>
      <c r="K177" s="575">
        <f t="shared" si="48"/>
        <v>147.94848127468231</v>
      </c>
      <c r="L177" s="528"/>
      <c r="M177" s="528"/>
    </row>
    <row r="178" spans="1:13" s="42" customFormat="1" ht="20.100000000000001" customHeight="1">
      <c r="A178" s="66">
        <f t="shared" si="61"/>
        <v>12</v>
      </c>
      <c r="B178" s="280" t="s">
        <v>88</v>
      </c>
      <c r="C178" s="281"/>
      <c r="D178" s="64">
        <v>1.67875</v>
      </c>
      <c r="E178" s="81" t="s">
        <v>70</v>
      </c>
      <c r="F178" s="537">
        <f t="shared" si="62"/>
        <v>6000000</v>
      </c>
      <c r="G178" s="67">
        <f t="shared" si="59"/>
        <v>10072500</v>
      </c>
      <c r="H178" s="535"/>
      <c r="I178" s="541">
        <v>4055465.7596385544</v>
      </c>
      <c r="J178" s="560">
        <f t="shared" si="60"/>
        <v>6808113.1439932231</v>
      </c>
      <c r="K178" s="575">
        <f t="shared" si="48"/>
        <v>147.94848127468231</v>
      </c>
      <c r="L178" s="528"/>
      <c r="M178" s="528"/>
    </row>
    <row r="179" spans="1:13" s="42" customFormat="1" ht="20.100000000000001" customHeight="1">
      <c r="A179" s="66">
        <f t="shared" si="61"/>
        <v>13</v>
      </c>
      <c r="B179" s="286" t="s">
        <v>156</v>
      </c>
      <c r="C179" s="281"/>
      <c r="D179" s="282">
        <v>18.068559999999998</v>
      </c>
      <c r="E179" s="81" t="s">
        <v>70</v>
      </c>
      <c r="F179" s="283">
        <f>F149</f>
        <v>900000</v>
      </c>
      <c r="G179" s="67">
        <f t="shared" si="59"/>
        <v>16261703.999999998</v>
      </c>
      <c r="H179" s="535"/>
      <c r="I179" s="541">
        <v>1120599.7000000002</v>
      </c>
      <c r="J179" s="560">
        <f t="shared" si="60"/>
        <v>20247622.915432002</v>
      </c>
      <c r="K179" s="560">
        <f t="shared" si="48"/>
        <v>80.314138938284557</v>
      </c>
      <c r="L179" s="528"/>
      <c r="M179" s="528"/>
    </row>
    <row r="180" spans="1:13" s="42" customFormat="1" ht="20.100000000000001" customHeight="1">
      <c r="A180" s="66">
        <f t="shared" si="61"/>
        <v>14</v>
      </c>
      <c r="B180" s="286" t="s">
        <v>164</v>
      </c>
      <c r="C180" s="281"/>
      <c r="D180" s="274">
        <v>58.920299999999983</v>
      </c>
      <c r="E180" s="81" t="s">
        <v>40</v>
      </c>
      <c r="F180" s="283">
        <v>350000</v>
      </c>
      <c r="G180" s="67">
        <f t="shared" si="59"/>
        <v>20622104.999999993</v>
      </c>
      <c r="H180" s="535"/>
      <c r="I180" s="541">
        <v>344220.91</v>
      </c>
      <c r="J180" s="560">
        <f t="shared" si="60"/>
        <v>20281599.283472992</v>
      </c>
      <c r="K180" s="560">
        <f t="shared" si="48"/>
        <v>101.6788898733665</v>
      </c>
      <c r="L180" s="528"/>
      <c r="M180" s="528"/>
    </row>
    <row r="181" spans="1:13" s="42" customFormat="1" ht="20.100000000000001" customHeight="1">
      <c r="A181" s="66">
        <f t="shared" si="61"/>
        <v>15</v>
      </c>
      <c r="B181" s="286" t="s">
        <v>158</v>
      </c>
      <c r="C181" s="281"/>
      <c r="D181" s="282">
        <v>28.298000000000002</v>
      </c>
      <c r="E181" s="81" t="s">
        <v>40</v>
      </c>
      <c r="F181" s="283">
        <f>F161</f>
        <v>40000</v>
      </c>
      <c r="G181" s="67">
        <f t="shared" si="59"/>
        <v>1131920</v>
      </c>
      <c r="H181" s="535"/>
      <c r="I181" s="541">
        <v>45665.675000000003</v>
      </c>
      <c r="J181" s="560">
        <f t="shared" si="60"/>
        <v>1292247.2711500002</v>
      </c>
      <c r="K181" s="560">
        <f t="shared" si="48"/>
        <v>87.5931429897839</v>
      </c>
      <c r="L181" s="528"/>
      <c r="M181" s="528"/>
    </row>
    <row r="182" spans="1:13" s="42" customFormat="1" ht="20.100000000000001" customHeight="1">
      <c r="A182" s="66">
        <f t="shared" si="61"/>
        <v>16</v>
      </c>
      <c r="B182" s="272" t="s">
        <v>89</v>
      </c>
      <c r="C182" s="273"/>
      <c r="D182" s="274">
        <v>12.4999</v>
      </c>
      <c r="E182" s="45" t="s">
        <v>40</v>
      </c>
      <c r="F182" s="46">
        <f>F160</f>
        <v>60000</v>
      </c>
      <c r="G182" s="67">
        <f t="shared" si="59"/>
        <v>749994</v>
      </c>
      <c r="H182" s="535"/>
      <c r="I182" s="46">
        <v>111088.2828</v>
      </c>
      <c r="J182" s="560">
        <f t="shared" si="60"/>
        <v>1388592.42617172</v>
      </c>
      <c r="K182" s="576">
        <f t="shared" si="48"/>
        <v>54.011096839098862</v>
      </c>
      <c r="L182" s="528"/>
      <c r="M182" s="528"/>
    </row>
    <row r="183" spans="1:13" s="42" customFormat="1" ht="20.100000000000001" customHeight="1">
      <c r="A183" s="66">
        <f t="shared" si="61"/>
        <v>17</v>
      </c>
      <c r="B183" s="272" t="s">
        <v>182</v>
      </c>
      <c r="C183" s="273"/>
      <c r="D183" s="274">
        <v>13.520300000000001</v>
      </c>
      <c r="E183" s="45" t="s">
        <v>40</v>
      </c>
      <c r="F183" s="46">
        <f>F181</f>
        <v>40000</v>
      </c>
      <c r="G183" s="67">
        <f t="shared" si="59"/>
        <v>540812</v>
      </c>
      <c r="H183" s="535"/>
      <c r="I183" s="46">
        <v>45665.675000000003</v>
      </c>
      <c r="J183" s="560">
        <f t="shared" si="60"/>
        <v>617413.62570250011</v>
      </c>
      <c r="K183" s="560">
        <f t="shared" si="48"/>
        <v>87.5931429897839</v>
      </c>
      <c r="L183" s="528"/>
      <c r="M183" s="528"/>
    </row>
    <row r="184" spans="1:13" s="42" customFormat="1" ht="20.100000000000001" customHeight="1">
      <c r="A184" s="66">
        <f t="shared" si="61"/>
        <v>18</v>
      </c>
      <c r="B184" s="286" t="s">
        <v>93</v>
      </c>
      <c r="C184" s="281"/>
      <c r="D184" s="74">
        <v>4.3367000000000004</v>
      </c>
      <c r="E184" s="289" t="s">
        <v>58</v>
      </c>
      <c r="F184" s="290">
        <f>F153</f>
        <v>62000</v>
      </c>
      <c r="G184" s="67">
        <f t="shared" si="59"/>
        <v>268875.40000000002</v>
      </c>
      <c r="H184" s="535"/>
      <c r="I184" s="546">
        <v>74545.08600000001</v>
      </c>
      <c r="J184" s="560">
        <f t="shared" si="60"/>
        <v>323279.6744562001</v>
      </c>
      <c r="K184" s="560">
        <f t="shared" si="48"/>
        <v>83.171142897333283</v>
      </c>
      <c r="L184" s="528"/>
      <c r="M184" s="528"/>
    </row>
    <row r="185" spans="1:13" s="42" customFormat="1" ht="20.100000000000001" customHeight="1">
      <c r="A185" s="66">
        <f t="shared" si="61"/>
        <v>19</v>
      </c>
      <c r="B185" s="280" t="s">
        <v>161</v>
      </c>
      <c r="C185" s="288"/>
      <c r="D185" s="74">
        <v>1.4986000000000002</v>
      </c>
      <c r="E185" s="65" t="s">
        <v>38</v>
      </c>
      <c r="F185" s="290">
        <v>500000</v>
      </c>
      <c r="G185" s="67">
        <f t="shared" si="59"/>
        <v>749300.00000000012</v>
      </c>
      <c r="H185" s="535"/>
      <c r="I185" s="546">
        <v>280000</v>
      </c>
      <c r="J185" s="560">
        <f t="shared" si="60"/>
        <v>419608.00000000006</v>
      </c>
      <c r="K185" s="575">
        <f t="shared" si="48"/>
        <v>178.57142857142858</v>
      </c>
      <c r="L185" s="528"/>
      <c r="M185" s="528"/>
    </row>
    <row r="186" spans="1:13" s="42" customFormat="1" ht="20.100000000000001" customHeight="1">
      <c r="A186" s="66">
        <f t="shared" si="61"/>
        <v>20</v>
      </c>
      <c r="B186" s="280" t="s">
        <v>59</v>
      </c>
      <c r="C186" s="288"/>
      <c r="D186" s="74">
        <v>1.5</v>
      </c>
      <c r="E186" s="65" t="s">
        <v>60</v>
      </c>
      <c r="F186" s="291">
        <v>250000</v>
      </c>
      <c r="G186" s="67">
        <f t="shared" si="59"/>
        <v>375000</v>
      </c>
      <c r="H186" s="535"/>
      <c r="I186" s="547">
        <v>95000</v>
      </c>
      <c r="J186" s="560">
        <f t="shared" si="60"/>
        <v>142500</v>
      </c>
      <c r="K186" s="575">
        <f t="shared" si="48"/>
        <v>263.15789473684214</v>
      </c>
      <c r="L186" s="528"/>
      <c r="M186" s="528"/>
    </row>
    <row r="187" spans="1:13" s="42" customFormat="1" ht="20.100000000000001" customHeight="1">
      <c r="A187" s="66">
        <f t="shared" si="61"/>
        <v>21</v>
      </c>
      <c r="B187" s="280" t="s">
        <v>162</v>
      </c>
      <c r="C187" s="288"/>
      <c r="D187" s="74">
        <v>180</v>
      </c>
      <c r="E187" s="65" t="s">
        <v>102</v>
      </c>
      <c r="F187" s="290">
        <v>20000</v>
      </c>
      <c r="G187" s="67">
        <f t="shared" si="59"/>
        <v>3600000</v>
      </c>
      <c r="H187" s="535"/>
      <c r="I187" s="546">
        <v>14500</v>
      </c>
      <c r="J187" s="560">
        <f t="shared" si="60"/>
        <v>2610000</v>
      </c>
      <c r="K187" s="575">
        <f t="shared" si="48"/>
        <v>137.93103448275863</v>
      </c>
      <c r="L187" s="528"/>
      <c r="M187" s="528"/>
    </row>
    <row r="188" spans="1:13" s="42" customFormat="1" ht="20.100000000000001" customHeight="1">
      <c r="A188" s="66"/>
      <c r="B188" s="184"/>
      <c r="C188" s="184"/>
      <c r="D188" s="64"/>
      <c r="E188" s="65"/>
      <c r="F188" s="68"/>
      <c r="G188" s="67"/>
      <c r="H188" s="535"/>
      <c r="I188" s="548"/>
      <c r="J188" s="567"/>
      <c r="K188" s="560"/>
      <c r="L188" s="528"/>
      <c r="M188" s="528"/>
    </row>
    <row r="189" spans="1:13" s="42" customFormat="1" ht="20.100000000000001" customHeight="1">
      <c r="A189" s="76" t="s">
        <v>165</v>
      </c>
      <c r="B189" s="181" t="s">
        <v>166</v>
      </c>
      <c r="C189" s="182"/>
      <c r="D189" s="77"/>
      <c r="E189" s="78"/>
      <c r="F189" s="79"/>
      <c r="G189" s="80">
        <f>SUM(G191:G205)</f>
        <v>105550804.425</v>
      </c>
      <c r="H189" s="535"/>
      <c r="I189" s="544"/>
      <c r="J189" s="568"/>
      <c r="K189" s="560"/>
      <c r="L189" s="528"/>
      <c r="M189" s="528"/>
    </row>
    <row r="190" spans="1:13" s="42" customFormat="1" ht="20.100000000000001" customHeight="1">
      <c r="A190" s="66"/>
      <c r="B190" s="183"/>
      <c r="C190" s="184"/>
      <c r="D190" s="64"/>
      <c r="E190" s="65"/>
      <c r="F190" s="82"/>
      <c r="G190" s="67"/>
      <c r="H190" s="535"/>
      <c r="I190" s="545"/>
      <c r="J190" s="567"/>
      <c r="K190" s="560"/>
      <c r="L190" s="528"/>
      <c r="M190" s="528"/>
    </row>
    <row r="191" spans="1:13" s="42" customFormat="1" ht="20.100000000000001" customHeight="1">
      <c r="A191" s="66">
        <v>1</v>
      </c>
      <c r="B191" s="280" t="s">
        <v>37</v>
      </c>
      <c r="C191" s="288"/>
      <c r="D191" s="282">
        <v>23.219459999999998</v>
      </c>
      <c r="E191" s="81" t="s">
        <v>38</v>
      </c>
      <c r="F191" s="283">
        <f>F167</f>
        <v>90000</v>
      </c>
      <c r="G191" s="67">
        <f t="shared" ref="G191:G203" si="63">D191*F191</f>
        <v>2089751.4</v>
      </c>
      <c r="H191" s="535"/>
      <c r="I191" s="541">
        <v>68612.5</v>
      </c>
      <c r="J191" s="560">
        <f t="shared" ref="J191:J204" si="64">D191*I191</f>
        <v>1593145.1992499998</v>
      </c>
      <c r="K191" s="560">
        <f t="shared" si="48"/>
        <v>131.17143377664419</v>
      </c>
      <c r="L191" s="528"/>
      <c r="M191" s="528"/>
    </row>
    <row r="192" spans="1:13" s="42" customFormat="1" ht="20.100000000000001" customHeight="1">
      <c r="A192" s="66">
        <f t="shared" ref="A192:A204" si="65">1+A191</f>
        <v>2</v>
      </c>
      <c r="B192" s="272" t="s">
        <v>233</v>
      </c>
      <c r="C192" s="288"/>
      <c r="D192" s="282">
        <v>13.848599999999999</v>
      </c>
      <c r="E192" s="81" t="s">
        <v>38</v>
      </c>
      <c r="F192" s="283">
        <f>F168</f>
        <v>50000</v>
      </c>
      <c r="G192" s="67">
        <f t="shared" si="63"/>
        <v>692430</v>
      </c>
      <c r="H192" s="535"/>
      <c r="I192" s="541">
        <v>28909.375000000004</v>
      </c>
      <c r="J192" s="560">
        <f t="shared" si="64"/>
        <v>400354.37062500004</v>
      </c>
      <c r="K192" s="560">
        <f t="shared" si="48"/>
        <v>172.9542752134904</v>
      </c>
      <c r="L192" s="528"/>
      <c r="M192" s="528"/>
    </row>
    <row r="193" spans="1:13" s="42" customFormat="1" ht="20.100000000000001" customHeight="1">
      <c r="A193" s="66">
        <f t="shared" si="65"/>
        <v>3</v>
      </c>
      <c r="B193" s="286" t="s">
        <v>62</v>
      </c>
      <c r="C193" s="281"/>
      <c r="D193" s="282">
        <v>4.7679299999999998</v>
      </c>
      <c r="E193" s="81" t="s">
        <v>38</v>
      </c>
      <c r="F193" s="283">
        <f>F169</f>
        <v>350000</v>
      </c>
      <c r="G193" s="67">
        <f t="shared" si="63"/>
        <v>1668775.5</v>
      </c>
      <c r="H193" s="535"/>
      <c r="I193" s="541">
        <v>257207.50000000003</v>
      </c>
      <c r="J193" s="560">
        <f t="shared" si="64"/>
        <v>1226347.3554750001</v>
      </c>
      <c r="K193" s="560">
        <f t="shared" si="48"/>
        <v>136.07690288969022</v>
      </c>
      <c r="L193" s="528"/>
      <c r="M193" s="528"/>
    </row>
    <row r="194" spans="1:13" s="42" customFormat="1" ht="20.100000000000001" customHeight="1">
      <c r="A194" s="66">
        <f t="shared" si="65"/>
        <v>4</v>
      </c>
      <c r="B194" s="280" t="s">
        <v>167</v>
      </c>
      <c r="C194" s="281"/>
      <c r="D194" s="64">
        <v>3.7338550000000001</v>
      </c>
      <c r="E194" s="81" t="s">
        <v>70</v>
      </c>
      <c r="F194" s="283">
        <v>4000000</v>
      </c>
      <c r="G194" s="67">
        <f t="shared" si="63"/>
        <v>14935420</v>
      </c>
      <c r="H194" s="535"/>
      <c r="I194" s="541">
        <v>3011394.5462962966</v>
      </c>
      <c r="J194" s="560">
        <f t="shared" si="64"/>
        <v>11244110.58366116</v>
      </c>
      <c r="K194" s="560">
        <f t="shared" si="48"/>
        <v>132.82882526700413</v>
      </c>
      <c r="L194" s="528"/>
      <c r="M194" s="528"/>
    </row>
    <row r="195" spans="1:13" s="42" customFormat="1" ht="20.100000000000001" customHeight="1">
      <c r="A195" s="66">
        <f t="shared" si="65"/>
        <v>5</v>
      </c>
      <c r="B195" s="286" t="s">
        <v>156</v>
      </c>
      <c r="C195" s="281"/>
      <c r="D195" s="282">
        <v>68.350129999999993</v>
      </c>
      <c r="E195" s="81" t="s">
        <v>70</v>
      </c>
      <c r="F195" s="283">
        <f>F158</f>
        <v>900000</v>
      </c>
      <c r="G195" s="67">
        <f t="shared" si="63"/>
        <v>61515116.999999993</v>
      </c>
      <c r="H195" s="535"/>
      <c r="I195" s="541">
        <v>1120599.7000000002</v>
      </c>
      <c r="J195" s="560">
        <f t="shared" si="64"/>
        <v>76593135.172961012</v>
      </c>
      <c r="K195" s="560">
        <f t="shared" si="48"/>
        <v>80.314138938284557</v>
      </c>
      <c r="L195" s="528"/>
      <c r="M195" s="528"/>
    </row>
    <row r="196" spans="1:13" s="42" customFormat="1" ht="20.100000000000001" customHeight="1">
      <c r="A196" s="66">
        <f t="shared" si="65"/>
        <v>6</v>
      </c>
      <c r="B196" s="272" t="s">
        <v>51</v>
      </c>
      <c r="C196" s="273"/>
      <c r="D196" s="274">
        <v>16.534374999999997</v>
      </c>
      <c r="E196" s="45" t="s">
        <v>52</v>
      </c>
      <c r="F196" s="46">
        <f>F159</f>
        <v>35000</v>
      </c>
      <c r="G196" s="67">
        <f t="shared" si="63"/>
        <v>578703.12499999988</v>
      </c>
      <c r="H196" s="535"/>
      <c r="I196" s="46">
        <v>27500</v>
      </c>
      <c r="J196" s="560">
        <f t="shared" si="64"/>
        <v>454695.31249999994</v>
      </c>
      <c r="K196" s="560">
        <f t="shared" si="48"/>
        <v>127.27272727272727</v>
      </c>
      <c r="L196" s="528"/>
      <c r="M196" s="528"/>
    </row>
    <row r="197" spans="1:13" s="42" customFormat="1" ht="20.100000000000001" customHeight="1">
      <c r="A197" s="66">
        <f t="shared" si="65"/>
        <v>7</v>
      </c>
      <c r="B197" s="286" t="s">
        <v>168</v>
      </c>
      <c r="C197" s="281"/>
      <c r="D197" s="64">
        <v>57.677100000000003</v>
      </c>
      <c r="E197" s="81" t="s">
        <v>40</v>
      </c>
      <c r="F197" s="283">
        <f>F183</f>
        <v>40000</v>
      </c>
      <c r="G197" s="67">
        <f t="shared" si="63"/>
        <v>2307084</v>
      </c>
      <c r="H197" s="535"/>
      <c r="I197" s="541">
        <v>45665.675000000003</v>
      </c>
      <c r="J197" s="560">
        <f t="shared" si="64"/>
        <v>2633863.7035425003</v>
      </c>
      <c r="K197" s="560">
        <f t="shared" si="48"/>
        <v>87.5931429897839</v>
      </c>
      <c r="L197" s="528"/>
      <c r="M197" s="528"/>
    </row>
    <row r="198" spans="1:13" s="42" customFormat="1" ht="20.100000000000001" customHeight="1">
      <c r="A198" s="66">
        <f t="shared" si="65"/>
        <v>8</v>
      </c>
      <c r="B198" s="272" t="s">
        <v>89</v>
      </c>
      <c r="C198" s="273"/>
      <c r="D198" s="274">
        <v>35.151299999999999</v>
      </c>
      <c r="E198" s="45" t="s">
        <v>40</v>
      </c>
      <c r="F198" s="46">
        <f>F182</f>
        <v>60000</v>
      </c>
      <c r="G198" s="67">
        <f t="shared" si="63"/>
        <v>2109078</v>
      </c>
      <c r="H198" s="535"/>
      <c r="I198" s="46">
        <v>111088.2828</v>
      </c>
      <c r="J198" s="560">
        <f t="shared" si="64"/>
        <v>3904897.5551876398</v>
      </c>
      <c r="K198" s="576">
        <f t="shared" si="48"/>
        <v>54.011096839098862</v>
      </c>
      <c r="L198" s="528"/>
      <c r="M198" s="528"/>
    </row>
    <row r="199" spans="1:13" s="42" customFormat="1" ht="20.100000000000001" customHeight="1">
      <c r="A199" s="66">
        <f t="shared" si="65"/>
        <v>9</v>
      </c>
      <c r="B199" s="272" t="s">
        <v>18</v>
      </c>
      <c r="C199" s="273"/>
      <c r="D199" s="274">
        <v>35.151299999999999</v>
      </c>
      <c r="E199" s="45" t="s">
        <v>40</v>
      </c>
      <c r="F199" s="46">
        <f>F183</f>
        <v>40000</v>
      </c>
      <c r="G199" s="67">
        <f t="shared" si="63"/>
        <v>1406052</v>
      </c>
      <c r="H199" s="535"/>
      <c r="I199" s="46">
        <v>45665.675000000003</v>
      </c>
      <c r="J199" s="560">
        <f t="shared" si="64"/>
        <v>1605207.8416275</v>
      </c>
      <c r="K199" s="560">
        <f t="shared" si="48"/>
        <v>87.5931429897839</v>
      </c>
      <c r="L199" s="528"/>
      <c r="M199" s="528"/>
    </row>
    <row r="200" spans="1:13" s="42" customFormat="1" ht="20.100000000000001" customHeight="1">
      <c r="A200" s="66">
        <f t="shared" si="65"/>
        <v>10</v>
      </c>
      <c r="B200" s="286" t="s">
        <v>93</v>
      </c>
      <c r="C200" s="281"/>
      <c r="D200" s="74">
        <v>62.230699999999999</v>
      </c>
      <c r="E200" s="289" t="s">
        <v>58</v>
      </c>
      <c r="F200" s="46">
        <f>F184</f>
        <v>62000</v>
      </c>
      <c r="G200" s="67">
        <f t="shared" si="63"/>
        <v>3858303.4</v>
      </c>
      <c r="H200" s="535"/>
      <c r="I200" s="546">
        <v>74545.08600000001</v>
      </c>
      <c r="J200" s="560">
        <f t="shared" si="64"/>
        <v>4638992.8833402004</v>
      </c>
      <c r="K200" s="560">
        <f t="shared" si="48"/>
        <v>83.171142897333283</v>
      </c>
      <c r="L200" s="528"/>
      <c r="M200" s="528"/>
    </row>
    <row r="201" spans="1:13" s="42" customFormat="1" ht="20.100000000000001" customHeight="1">
      <c r="A201" s="66">
        <f t="shared" si="65"/>
        <v>11</v>
      </c>
      <c r="B201" s="280" t="s">
        <v>161</v>
      </c>
      <c r="C201" s="288"/>
      <c r="D201" s="74">
        <v>0.63018000000000007</v>
      </c>
      <c r="E201" s="65" t="s">
        <v>38</v>
      </c>
      <c r="F201" s="290">
        <f>F185</f>
        <v>500000</v>
      </c>
      <c r="G201" s="67">
        <f t="shared" si="63"/>
        <v>315090.00000000006</v>
      </c>
      <c r="H201" s="535"/>
      <c r="I201" s="546">
        <v>280000</v>
      </c>
      <c r="J201" s="560">
        <f t="shared" si="64"/>
        <v>176450.40000000002</v>
      </c>
      <c r="K201" s="560">
        <f t="shared" si="48"/>
        <v>178.57142857142858</v>
      </c>
      <c r="L201" s="528"/>
      <c r="M201" s="528"/>
    </row>
    <row r="202" spans="1:13" s="42" customFormat="1" ht="20.100000000000001" customHeight="1">
      <c r="A202" s="66">
        <f t="shared" si="65"/>
        <v>12</v>
      </c>
      <c r="B202" s="280" t="s">
        <v>59</v>
      </c>
      <c r="C202" s="288"/>
      <c r="D202" s="74">
        <v>0.5</v>
      </c>
      <c r="E202" s="65" t="s">
        <v>60</v>
      </c>
      <c r="F202" s="290">
        <f>F186</f>
        <v>250000</v>
      </c>
      <c r="G202" s="67">
        <f t="shared" si="63"/>
        <v>125000</v>
      </c>
      <c r="H202" s="535"/>
      <c r="I202" s="547">
        <v>95000</v>
      </c>
      <c r="J202" s="560">
        <f t="shared" si="64"/>
        <v>47500</v>
      </c>
      <c r="K202" s="560">
        <f t="shared" si="48"/>
        <v>263.15789473684214</v>
      </c>
      <c r="L202" s="528"/>
      <c r="M202" s="528"/>
    </row>
    <row r="203" spans="1:13" s="42" customFormat="1" ht="20.100000000000001" customHeight="1">
      <c r="A203" s="66">
        <f t="shared" si="65"/>
        <v>13</v>
      </c>
      <c r="B203" s="280" t="s">
        <v>207</v>
      </c>
      <c r="C203" s="288"/>
      <c r="D203" s="74">
        <v>100</v>
      </c>
      <c r="E203" s="65" t="s">
        <v>102</v>
      </c>
      <c r="F203" s="290">
        <v>15000</v>
      </c>
      <c r="G203" s="67">
        <f t="shared" si="63"/>
        <v>1500000</v>
      </c>
      <c r="H203" s="535"/>
      <c r="I203" s="546">
        <v>14500</v>
      </c>
      <c r="J203" s="560">
        <f t="shared" si="64"/>
        <v>1450000</v>
      </c>
      <c r="K203" s="560">
        <f t="shared" si="48"/>
        <v>103.44827586206897</v>
      </c>
      <c r="L203" s="528"/>
      <c r="M203" s="528"/>
    </row>
    <row r="204" spans="1:13" s="42" customFormat="1" ht="20.100000000000001" customHeight="1">
      <c r="A204" s="66">
        <f t="shared" si="65"/>
        <v>14</v>
      </c>
      <c r="B204" s="280" t="s">
        <v>169</v>
      </c>
      <c r="C204" s="288"/>
      <c r="D204" s="74">
        <v>24.9</v>
      </c>
      <c r="E204" s="65" t="s">
        <v>52</v>
      </c>
      <c r="F204" s="290">
        <v>500000</v>
      </c>
      <c r="G204" s="292">
        <f t="shared" ref="G204" si="66">D204*F204</f>
        <v>12450000</v>
      </c>
      <c r="H204" s="535"/>
      <c r="I204" s="546">
        <v>475000</v>
      </c>
      <c r="J204" s="560">
        <f t="shared" si="64"/>
        <v>11827500</v>
      </c>
      <c r="K204" s="560">
        <f t="shared" si="48"/>
        <v>105.26315789473684</v>
      </c>
      <c r="L204" s="528"/>
      <c r="M204" s="528"/>
    </row>
    <row r="205" spans="1:13" s="42" customFormat="1" ht="20.100000000000001" customHeight="1">
      <c r="A205" s="66"/>
      <c r="B205" s="184"/>
      <c r="C205" s="184"/>
      <c r="D205" s="64"/>
      <c r="E205" s="65"/>
      <c r="F205" s="68"/>
      <c r="G205" s="88"/>
      <c r="H205" s="535"/>
      <c r="I205" s="548"/>
      <c r="J205" s="567"/>
      <c r="K205" s="560"/>
      <c r="L205" s="528"/>
      <c r="M205" s="528"/>
    </row>
    <row r="206" spans="1:13" s="42" customFormat="1" ht="20.100000000000001" customHeight="1">
      <c r="A206" s="69" t="s">
        <v>117</v>
      </c>
      <c r="B206" s="185" t="s">
        <v>184</v>
      </c>
      <c r="C206" s="186"/>
      <c r="D206" s="70"/>
      <c r="E206" s="71"/>
      <c r="F206" s="72"/>
      <c r="G206" s="151">
        <f>SUM(G209:G307)</f>
        <v>1243239329.0833333</v>
      </c>
      <c r="H206" s="535"/>
      <c r="I206" s="549"/>
      <c r="J206" s="570"/>
      <c r="K206" s="560"/>
      <c r="L206" s="528"/>
      <c r="M206" s="528"/>
    </row>
    <row r="207" spans="1:13" s="42" customFormat="1" ht="20.100000000000001" customHeight="1">
      <c r="A207" s="144"/>
      <c r="B207" s="183" t="s">
        <v>178</v>
      </c>
      <c r="C207" s="184"/>
      <c r="D207" s="64"/>
      <c r="E207" s="65"/>
      <c r="F207" s="68"/>
      <c r="G207" s="67"/>
      <c r="H207" s="535"/>
      <c r="I207" s="548"/>
      <c r="J207" s="567"/>
      <c r="K207" s="560"/>
      <c r="L207" s="528"/>
      <c r="M207" s="528"/>
    </row>
    <row r="208" spans="1:13" s="42" customFormat="1" ht="20.100000000000001" customHeight="1">
      <c r="A208" s="144"/>
      <c r="B208" s="187" t="s">
        <v>183</v>
      </c>
      <c r="C208" s="184"/>
      <c r="D208" s="64"/>
      <c r="E208" s="65"/>
      <c r="F208" s="68"/>
      <c r="G208" s="67"/>
      <c r="H208" s="535"/>
      <c r="I208" s="548"/>
      <c r="J208" s="567"/>
      <c r="K208" s="560"/>
      <c r="L208" s="528"/>
      <c r="M208" s="528"/>
    </row>
    <row r="209" spans="1:13" s="42" customFormat="1" ht="20.100000000000001" customHeight="1">
      <c r="A209" s="66">
        <v>1</v>
      </c>
      <c r="B209" s="278" t="s">
        <v>235</v>
      </c>
      <c r="C209" s="184"/>
      <c r="D209" s="64">
        <v>688.92</v>
      </c>
      <c r="E209" s="65" t="s">
        <v>40</v>
      </c>
      <c r="F209" s="277">
        <f>F42</f>
        <v>10000</v>
      </c>
      <c r="G209" s="67">
        <f t="shared" ref="G209:G212" si="67">D209*F209</f>
        <v>6889200</v>
      </c>
      <c r="H209" s="535"/>
      <c r="I209" s="277">
        <v>10839.583333333334</v>
      </c>
      <c r="J209" s="560">
        <f t="shared" ref="J209:J272" si="68">D209*I209</f>
        <v>7467605.75</v>
      </c>
      <c r="K209" s="560">
        <f t="shared" ref="K209:K269" si="69">F209/I209*100</f>
        <v>92.254468575821633</v>
      </c>
      <c r="L209" s="528"/>
      <c r="M209" s="528"/>
    </row>
    <row r="210" spans="1:13" s="42" customFormat="1" ht="20.100000000000001" customHeight="1">
      <c r="A210" s="66">
        <f t="shared" ref="A210:A233" si="70">A209+1</f>
        <v>2</v>
      </c>
      <c r="B210" s="278" t="s">
        <v>234</v>
      </c>
      <c r="C210" s="184"/>
      <c r="D210" s="64">
        <v>62.002800000000008</v>
      </c>
      <c r="E210" s="65" t="s">
        <v>38</v>
      </c>
      <c r="F210" s="277">
        <v>250000</v>
      </c>
      <c r="G210" s="67">
        <f t="shared" si="67"/>
        <v>15500700.000000002</v>
      </c>
      <c r="H210" s="535"/>
      <c r="I210" s="277">
        <v>250318.75000000003</v>
      </c>
      <c r="J210" s="560">
        <f t="shared" si="68"/>
        <v>15520463.392500004</v>
      </c>
      <c r="K210" s="560">
        <f t="shared" si="69"/>
        <v>99.872662355496729</v>
      </c>
      <c r="L210" s="528"/>
      <c r="M210" s="528"/>
    </row>
    <row r="211" spans="1:13" s="42" customFormat="1" ht="20.100000000000001" customHeight="1">
      <c r="A211" s="66">
        <f t="shared" si="70"/>
        <v>3</v>
      </c>
      <c r="B211" s="278" t="s">
        <v>133</v>
      </c>
      <c r="C211" s="184"/>
      <c r="D211" s="64">
        <v>620.02800000000002</v>
      </c>
      <c r="E211" s="65" t="s">
        <v>56</v>
      </c>
      <c r="F211" s="277">
        <f>(90000+20000+30000)*1.15</f>
        <v>161000</v>
      </c>
      <c r="G211" s="67">
        <f t="shared" si="67"/>
        <v>99824508</v>
      </c>
      <c r="H211" s="535"/>
      <c r="I211" s="277">
        <v>166919.5</v>
      </c>
      <c r="J211" s="560">
        <f t="shared" si="68"/>
        <v>103494763.74600001</v>
      </c>
      <c r="K211" s="560">
        <f t="shared" si="69"/>
        <v>96.453679767792252</v>
      </c>
      <c r="L211" s="528"/>
      <c r="M211" s="528"/>
    </row>
    <row r="212" spans="1:13" s="42" customFormat="1" ht="20.100000000000001" customHeight="1">
      <c r="A212" s="66">
        <f t="shared" si="70"/>
        <v>4</v>
      </c>
      <c r="B212" s="278" t="s">
        <v>401</v>
      </c>
      <c r="C212" s="184"/>
      <c r="D212" s="64">
        <v>620.02800000000002</v>
      </c>
      <c r="E212" s="65" t="s">
        <v>52</v>
      </c>
      <c r="F212" s="277">
        <f>((27000*2)+10000+15000)*1.2</f>
        <v>94800</v>
      </c>
      <c r="G212" s="67">
        <f t="shared" si="67"/>
        <v>58778654.399999999</v>
      </c>
      <c r="H212" s="535"/>
      <c r="I212" s="277">
        <v>143138.97321428571</v>
      </c>
      <c r="J212" s="560">
        <f t="shared" si="68"/>
        <v>88750171.284107149</v>
      </c>
      <c r="K212" s="576">
        <f t="shared" si="69"/>
        <v>66.229341926380869</v>
      </c>
      <c r="L212" s="528"/>
      <c r="M212" s="528"/>
    </row>
    <row r="213" spans="1:13" s="42" customFormat="1" ht="20.100000000000001" customHeight="1">
      <c r="A213" s="66">
        <f t="shared" si="70"/>
        <v>5</v>
      </c>
      <c r="B213" s="278" t="s">
        <v>402</v>
      </c>
      <c r="C213" s="184"/>
      <c r="D213" s="64">
        <v>68.891999999999996</v>
      </c>
      <c r="E213" s="65" t="s">
        <v>52</v>
      </c>
      <c r="F213" s="277">
        <f>F212</f>
        <v>94800</v>
      </c>
      <c r="G213" s="67">
        <f t="shared" ref="G213" si="71">D213*F213</f>
        <v>6530961.5999999996</v>
      </c>
      <c r="H213" s="535"/>
      <c r="I213" s="277">
        <v>143138.97321428571</v>
      </c>
      <c r="J213" s="560">
        <f t="shared" si="68"/>
        <v>9861130.14267857</v>
      </c>
      <c r="K213" s="576">
        <f t="shared" si="69"/>
        <v>66.229341926380869</v>
      </c>
      <c r="L213" s="528"/>
      <c r="M213" s="528"/>
    </row>
    <row r="214" spans="1:13" s="42" customFormat="1" ht="20.100000000000001" customHeight="1">
      <c r="A214" s="66"/>
      <c r="B214" s="293" t="s">
        <v>180</v>
      </c>
      <c r="C214" s="184"/>
      <c r="D214" s="64"/>
      <c r="E214" s="65"/>
      <c r="F214" s="277"/>
      <c r="G214" s="67"/>
      <c r="H214" s="535"/>
      <c r="I214" s="277"/>
      <c r="J214" s="560">
        <f t="shared" si="68"/>
        <v>0</v>
      </c>
      <c r="K214" s="560"/>
      <c r="L214" s="528"/>
      <c r="M214" s="528"/>
    </row>
    <row r="215" spans="1:13" s="42" customFormat="1" ht="20.100000000000001" customHeight="1">
      <c r="A215" s="66">
        <f>A213+1</f>
        <v>6</v>
      </c>
      <c r="B215" s="278" t="s">
        <v>235</v>
      </c>
      <c r="C215" s="184"/>
      <c r="D215" s="64">
        <v>184.0848</v>
      </c>
      <c r="E215" s="65" t="s">
        <v>40</v>
      </c>
      <c r="F215" s="277">
        <f>F209</f>
        <v>10000</v>
      </c>
      <c r="G215" s="67">
        <f t="shared" ref="G215:G226" si="72">D215*F215</f>
        <v>1840848</v>
      </c>
      <c r="H215" s="535"/>
      <c r="I215" s="277">
        <v>10839.583333333334</v>
      </c>
      <c r="J215" s="560">
        <f t="shared" si="68"/>
        <v>1995402.53</v>
      </c>
      <c r="K215" s="560">
        <f t="shared" si="69"/>
        <v>92.254468575821633</v>
      </c>
      <c r="L215" s="528"/>
      <c r="M215" s="528"/>
    </row>
    <row r="216" spans="1:13" s="42" customFormat="1" ht="20.100000000000001" customHeight="1">
      <c r="A216" s="66">
        <f t="shared" si="70"/>
        <v>7</v>
      </c>
      <c r="B216" s="272" t="s">
        <v>37</v>
      </c>
      <c r="C216" s="273"/>
      <c r="D216" s="274">
        <v>71.045999999999992</v>
      </c>
      <c r="E216" s="45" t="s">
        <v>38</v>
      </c>
      <c r="F216" s="277">
        <f>F191</f>
        <v>90000</v>
      </c>
      <c r="G216" s="67">
        <f t="shared" si="72"/>
        <v>6394139.9999999991</v>
      </c>
      <c r="H216" s="535"/>
      <c r="I216" s="46">
        <v>68612.5</v>
      </c>
      <c r="J216" s="560">
        <f t="shared" si="68"/>
        <v>4874643.6749999998</v>
      </c>
      <c r="K216" s="560">
        <f t="shared" si="69"/>
        <v>131.17143377664419</v>
      </c>
      <c r="L216" s="528"/>
      <c r="M216" s="528"/>
    </row>
    <row r="217" spans="1:13" s="42" customFormat="1" ht="20.100000000000001" customHeight="1">
      <c r="A217" s="271">
        <f t="shared" si="70"/>
        <v>8</v>
      </c>
      <c r="B217" s="272" t="s">
        <v>10</v>
      </c>
      <c r="C217" s="273"/>
      <c r="D217" s="274">
        <v>1.9420000000000002</v>
      </c>
      <c r="E217" s="45" t="s">
        <v>38</v>
      </c>
      <c r="F217" s="277">
        <f>F157</f>
        <v>350000</v>
      </c>
      <c r="G217" s="67">
        <f t="shared" si="72"/>
        <v>679700.00000000012</v>
      </c>
      <c r="H217" s="535"/>
      <c r="I217" s="46">
        <v>257207.50000000003</v>
      </c>
      <c r="J217" s="560">
        <f t="shared" si="68"/>
        <v>499496.96500000008</v>
      </c>
      <c r="K217" s="560">
        <f t="shared" si="69"/>
        <v>136.07690288969022</v>
      </c>
      <c r="L217" s="528"/>
      <c r="M217" s="528"/>
    </row>
    <row r="218" spans="1:13" s="42" customFormat="1" ht="20.100000000000001" customHeight="1">
      <c r="A218" s="66">
        <f t="shared" si="70"/>
        <v>9</v>
      </c>
      <c r="B218" s="278" t="s">
        <v>234</v>
      </c>
      <c r="C218" s="184"/>
      <c r="D218" s="64">
        <v>62.392786666666666</v>
      </c>
      <c r="E218" s="65" t="s">
        <v>38</v>
      </c>
      <c r="F218" s="277">
        <f>F210</f>
        <v>250000</v>
      </c>
      <c r="G218" s="67">
        <f t="shared" si="72"/>
        <v>15598196.666666666</v>
      </c>
      <c r="H218" s="535"/>
      <c r="I218" s="277">
        <v>250318.75000000003</v>
      </c>
      <c r="J218" s="560">
        <f t="shared" si="68"/>
        <v>15618084.367416669</v>
      </c>
      <c r="K218" s="560">
        <f t="shared" si="69"/>
        <v>99.872662355496729</v>
      </c>
      <c r="L218" s="528"/>
      <c r="M218" s="528"/>
    </row>
    <row r="219" spans="1:13" s="42" customFormat="1" ht="20.100000000000001" customHeight="1">
      <c r="A219" s="66">
        <f t="shared" si="70"/>
        <v>10</v>
      </c>
      <c r="B219" s="272" t="s">
        <v>50</v>
      </c>
      <c r="C219" s="273"/>
      <c r="D219" s="274">
        <v>20.0136</v>
      </c>
      <c r="E219" s="45" t="s">
        <v>38</v>
      </c>
      <c r="F219" s="46">
        <f>F195</f>
        <v>900000</v>
      </c>
      <c r="G219" s="67">
        <f t="shared" si="72"/>
        <v>18012240</v>
      </c>
      <c r="H219" s="535"/>
      <c r="I219" s="46">
        <v>1120599.7000000002</v>
      </c>
      <c r="J219" s="560">
        <f t="shared" si="68"/>
        <v>22427234.155920003</v>
      </c>
      <c r="K219" s="560">
        <f t="shared" si="69"/>
        <v>80.314138938284557</v>
      </c>
      <c r="L219" s="528"/>
      <c r="M219" s="528"/>
    </row>
    <row r="220" spans="1:13" s="42" customFormat="1" ht="20.100000000000001" customHeight="1">
      <c r="A220" s="66">
        <f t="shared" ref="A220" si="73">1+A219</f>
        <v>11</v>
      </c>
      <c r="B220" s="286" t="s">
        <v>64</v>
      </c>
      <c r="C220" s="281"/>
      <c r="D220" s="64">
        <v>1.8246359999999999</v>
      </c>
      <c r="E220" s="81" t="s">
        <v>70</v>
      </c>
      <c r="F220" s="283">
        <v>950000</v>
      </c>
      <c r="G220" s="67">
        <f t="shared" si="72"/>
        <v>1733404.2</v>
      </c>
      <c r="H220" s="535"/>
      <c r="I220" s="541">
        <v>1110010.5092592593</v>
      </c>
      <c r="J220" s="560">
        <f t="shared" si="68"/>
        <v>2025365.1355727778</v>
      </c>
      <c r="K220" s="560">
        <f t="shared" si="69"/>
        <v>85.584775285953029</v>
      </c>
      <c r="L220" s="528"/>
      <c r="M220" s="528"/>
    </row>
    <row r="221" spans="1:13" s="42" customFormat="1" ht="20.100000000000001" customHeight="1">
      <c r="A221" s="66">
        <f>1+A219</f>
        <v>11</v>
      </c>
      <c r="B221" s="280" t="s">
        <v>167</v>
      </c>
      <c r="C221" s="281"/>
      <c r="D221" s="64">
        <v>0.94500000000000006</v>
      </c>
      <c r="E221" s="81" t="s">
        <v>70</v>
      </c>
      <c r="F221" s="283">
        <f>F194</f>
        <v>4000000</v>
      </c>
      <c r="G221" s="67">
        <f t="shared" si="72"/>
        <v>3780000.0000000005</v>
      </c>
      <c r="H221" s="535"/>
      <c r="I221" s="541">
        <v>3011394.5462962966</v>
      </c>
      <c r="J221" s="560">
        <f t="shared" si="68"/>
        <v>2845767.8462500004</v>
      </c>
      <c r="K221" s="560">
        <f t="shared" si="69"/>
        <v>132.82882526700413</v>
      </c>
      <c r="L221" s="528"/>
      <c r="M221" s="528"/>
    </row>
    <row r="222" spans="1:13" s="42" customFormat="1" ht="20.100000000000001" customHeight="1">
      <c r="A222" s="66">
        <f t="shared" ref="A222:A225" si="74">1+A221</f>
        <v>12</v>
      </c>
      <c r="B222" s="280" t="s">
        <v>137</v>
      </c>
      <c r="C222" s="281"/>
      <c r="D222" s="64">
        <v>2.0598400000000003</v>
      </c>
      <c r="E222" s="81" t="s">
        <v>70</v>
      </c>
      <c r="F222" s="283">
        <f>F172</f>
        <v>3500000</v>
      </c>
      <c r="G222" s="67">
        <f t="shared" si="72"/>
        <v>7209440.0000000009</v>
      </c>
      <c r="H222" s="535"/>
      <c r="I222" s="541">
        <v>2448894.5462962966</v>
      </c>
      <c r="J222" s="560">
        <f t="shared" si="68"/>
        <v>5044330.9422429642</v>
      </c>
      <c r="K222" s="560">
        <f t="shared" si="69"/>
        <v>142.92162989596238</v>
      </c>
      <c r="L222" s="528"/>
      <c r="M222" s="528"/>
    </row>
    <row r="223" spans="1:13" s="42" customFormat="1" ht="17.45" customHeight="1">
      <c r="A223" s="66">
        <f t="shared" si="74"/>
        <v>13</v>
      </c>
      <c r="B223" s="272" t="s">
        <v>182</v>
      </c>
      <c r="C223" s="273"/>
      <c r="D223" s="274">
        <v>83.563599999999994</v>
      </c>
      <c r="E223" s="45" t="s">
        <v>40</v>
      </c>
      <c r="F223" s="46">
        <f>F199</f>
        <v>40000</v>
      </c>
      <c r="G223" s="67">
        <f t="shared" si="72"/>
        <v>3342543.9999999995</v>
      </c>
      <c r="H223" s="535"/>
      <c r="I223" s="46">
        <v>45665.675000000003</v>
      </c>
      <c r="J223" s="560">
        <f t="shared" si="68"/>
        <v>3815988.19943</v>
      </c>
      <c r="K223" s="560">
        <f t="shared" si="69"/>
        <v>87.5931429897839</v>
      </c>
      <c r="L223" s="528"/>
      <c r="M223" s="528"/>
    </row>
    <row r="224" spans="1:13" s="42" customFormat="1" ht="17.45" customHeight="1">
      <c r="A224" s="66">
        <f t="shared" si="74"/>
        <v>14</v>
      </c>
      <c r="B224" s="272" t="s">
        <v>103</v>
      </c>
      <c r="C224" s="273"/>
      <c r="D224" s="274">
        <v>24.335999999999999</v>
      </c>
      <c r="E224" s="45" t="s">
        <v>40</v>
      </c>
      <c r="F224" s="46">
        <f>F197</f>
        <v>40000</v>
      </c>
      <c r="G224" s="67">
        <f t="shared" si="72"/>
        <v>973439.99999999988</v>
      </c>
      <c r="H224" s="535"/>
      <c r="I224" s="46">
        <v>45665.675000000003</v>
      </c>
      <c r="J224" s="560">
        <f t="shared" si="68"/>
        <v>1111319.8668</v>
      </c>
      <c r="K224" s="560">
        <f t="shared" si="69"/>
        <v>87.5931429897839</v>
      </c>
      <c r="L224" s="528"/>
      <c r="M224" s="528"/>
    </row>
    <row r="225" spans="1:13" s="42" customFormat="1" ht="20.100000000000001" customHeight="1">
      <c r="A225" s="66">
        <f t="shared" si="74"/>
        <v>15</v>
      </c>
      <c r="B225" s="278" t="s">
        <v>133</v>
      </c>
      <c r="C225" s="184"/>
      <c r="D225" s="64">
        <v>83.546599999999998</v>
      </c>
      <c r="E225" s="65" t="s">
        <v>56</v>
      </c>
      <c r="F225" s="277">
        <f>F211</f>
        <v>161000</v>
      </c>
      <c r="G225" s="67">
        <f t="shared" si="72"/>
        <v>13451002.6</v>
      </c>
      <c r="H225" s="535"/>
      <c r="I225" s="277">
        <v>166919.5</v>
      </c>
      <c r="J225" s="560">
        <f t="shared" si="68"/>
        <v>13945556.6987</v>
      </c>
      <c r="K225" s="560">
        <f t="shared" si="69"/>
        <v>96.453679767792252</v>
      </c>
      <c r="L225" s="528"/>
      <c r="M225" s="528"/>
    </row>
    <row r="226" spans="1:13" s="42" customFormat="1" ht="20.100000000000001" customHeight="1">
      <c r="A226" s="66">
        <f t="shared" si="70"/>
        <v>16</v>
      </c>
      <c r="B226" s="278" t="s">
        <v>401</v>
      </c>
      <c r="C226" s="184"/>
      <c r="D226" s="64">
        <v>44.162999999999997</v>
      </c>
      <c r="E226" s="65" t="s">
        <v>52</v>
      </c>
      <c r="F226" s="277">
        <f>F212</f>
        <v>94800</v>
      </c>
      <c r="G226" s="67">
        <f t="shared" si="72"/>
        <v>4186652.4</v>
      </c>
      <c r="H226" s="535"/>
      <c r="I226" s="277">
        <v>143138.97321428571</v>
      </c>
      <c r="J226" s="560">
        <f t="shared" si="68"/>
        <v>6321446.4740624996</v>
      </c>
      <c r="K226" s="576">
        <f t="shared" si="69"/>
        <v>66.229341926380869</v>
      </c>
      <c r="L226" s="528"/>
      <c r="M226" s="528"/>
    </row>
    <row r="227" spans="1:13" s="42" customFormat="1" ht="20.100000000000001" customHeight="1">
      <c r="A227" s="66">
        <f t="shared" si="70"/>
        <v>17</v>
      </c>
      <c r="B227" s="278" t="s">
        <v>402</v>
      </c>
      <c r="C227" s="184"/>
      <c r="D227" s="367">
        <v>4.907</v>
      </c>
      <c r="E227" s="65" t="s">
        <v>52</v>
      </c>
      <c r="F227" s="277">
        <f>F213</f>
        <v>94800</v>
      </c>
      <c r="G227" s="67">
        <f t="shared" ref="G227" si="75">D227*F227</f>
        <v>465183.6</v>
      </c>
      <c r="H227" s="535"/>
      <c r="I227" s="277">
        <v>143138.97321428571</v>
      </c>
      <c r="J227" s="560">
        <f t="shared" si="68"/>
        <v>702382.94156249997</v>
      </c>
      <c r="K227" s="576">
        <f t="shared" si="69"/>
        <v>66.229341926380869</v>
      </c>
      <c r="L227" s="528"/>
      <c r="M227" s="528"/>
    </row>
    <row r="228" spans="1:13" s="42" customFormat="1" ht="20.100000000000001" customHeight="1">
      <c r="A228" s="144"/>
      <c r="B228" s="187" t="s">
        <v>181</v>
      </c>
      <c r="C228" s="184"/>
      <c r="D228" s="64"/>
      <c r="E228" s="65"/>
      <c r="F228" s="68"/>
      <c r="G228" s="67"/>
      <c r="H228" s="535"/>
      <c r="I228" s="548"/>
      <c r="J228" s="560">
        <f t="shared" si="68"/>
        <v>0</v>
      </c>
      <c r="K228" s="560"/>
      <c r="L228" s="528"/>
      <c r="M228" s="528"/>
    </row>
    <row r="229" spans="1:13" s="42" customFormat="1" ht="20.100000000000001" customHeight="1">
      <c r="A229" s="66">
        <f>A227+1</f>
        <v>18</v>
      </c>
      <c r="B229" s="278" t="s">
        <v>39</v>
      </c>
      <c r="C229" s="184"/>
      <c r="D229" s="64">
        <v>141.36000000000001</v>
      </c>
      <c r="E229" s="65" t="s">
        <v>40</v>
      </c>
      <c r="F229" s="277">
        <f>F209</f>
        <v>10000</v>
      </c>
      <c r="G229" s="67">
        <f t="shared" ref="G229:G232" si="76">D229*F229</f>
        <v>1413600.0000000002</v>
      </c>
      <c r="H229" s="535"/>
      <c r="I229" s="277">
        <v>10839.583333333334</v>
      </c>
      <c r="J229" s="560">
        <f t="shared" si="68"/>
        <v>1532283.5000000002</v>
      </c>
      <c r="K229" s="560">
        <f t="shared" si="69"/>
        <v>92.254468575821633</v>
      </c>
      <c r="L229" s="528"/>
      <c r="M229" s="528"/>
    </row>
    <row r="230" spans="1:13" s="42" customFormat="1" ht="20.100000000000001" customHeight="1">
      <c r="A230" s="66">
        <f t="shared" si="70"/>
        <v>19</v>
      </c>
      <c r="B230" s="278" t="s">
        <v>234</v>
      </c>
      <c r="C230" s="184"/>
      <c r="D230" s="64">
        <v>13.392000000000005</v>
      </c>
      <c r="E230" s="65" t="s">
        <v>38</v>
      </c>
      <c r="F230" s="277">
        <f t="shared" ref="F230:F233" si="77">F210</f>
        <v>250000</v>
      </c>
      <c r="G230" s="67">
        <f t="shared" si="76"/>
        <v>3348000.0000000014</v>
      </c>
      <c r="H230" s="535"/>
      <c r="I230" s="277">
        <v>250318.75000000003</v>
      </c>
      <c r="J230" s="560">
        <f t="shared" si="68"/>
        <v>3352268.7000000016</v>
      </c>
      <c r="K230" s="560">
        <f t="shared" si="69"/>
        <v>99.872662355496729</v>
      </c>
      <c r="L230" s="528"/>
      <c r="M230" s="528"/>
    </row>
    <row r="231" spans="1:13" s="42" customFormat="1" ht="20.100000000000001" customHeight="1">
      <c r="A231" s="66">
        <f t="shared" si="70"/>
        <v>20</v>
      </c>
      <c r="B231" s="278" t="s">
        <v>133</v>
      </c>
      <c r="C231" s="184"/>
      <c r="D231" s="64">
        <v>133.92000000000002</v>
      </c>
      <c r="E231" s="65" t="s">
        <v>56</v>
      </c>
      <c r="F231" s="277">
        <f t="shared" si="77"/>
        <v>161000</v>
      </c>
      <c r="G231" s="67">
        <f t="shared" si="76"/>
        <v>21561120.000000004</v>
      </c>
      <c r="H231" s="535"/>
      <c r="I231" s="277">
        <v>166919.5</v>
      </c>
      <c r="J231" s="560">
        <f t="shared" si="68"/>
        <v>22353859.440000001</v>
      </c>
      <c r="K231" s="560">
        <f t="shared" si="69"/>
        <v>96.453679767792252</v>
      </c>
      <c r="L231" s="528"/>
      <c r="M231" s="528"/>
    </row>
    <row r="232" spans="1:13" s="42" customFormat="1" ht="20.100000000000001" customHeight="1">
      <c r="A232" s="66">
        <f t="shared" si="70"/>
        <v>21</v>
      </c>
      <c r="B232" s="278" t="s">
        <v>401</v>
      </c>
      <c r="C232" s="184"/>
      <c r="D232" s="64">
        <v>76.679999999999993</v>
      </c>
      <c r="E232" s="65" t="s">
        <v>52</v>
      </c>
      <c r="F232" s="277">
        <f t="shared" si="77"/>
        <v>94800</v>
      </c>
      <c r="G232" s="67">
        <f t="shared" si="76"/>
        <v>7269263.9999999991</v>
      </c>
      <c r="H232" s="535"/>
      <c r="I232" s="277">
        <v>143138.97321428571</v>
      </c>
      <c r="J232" s="560">
        <f t="shared" si="68"/>
        <v>10975896.466071427</v>
      </c>
      <c r="K232" s="576">
        <f t="shared" si="69"/>
        <v>66.229341926380869</v>
      </c>
      <c r="L232" s="528"/>
      <c r="M232" s="528"/>
    </row>
    <row r="233" spans="1:13" s="42" customFormat="1" ht="20.100000000000001" customHeight="1">
      <c r="A233" s="66">
        <f t="shared" si="70"/>
        <v>22</v>
      </c>
      <c r="B233" s="278" t="s">
        <v>402</v>
      </c>
      <c r="C233" s="184"/>
      <c r="D233" s="367">
        <v>8.52</v>
      </c>
      <c r="E233" s="65" t="s">
        <v>52</v>
      </c>
      <c r="F233" s="277">
        <f t="shared" si="77"/>
        <v>94800</v>
      </c>
      <c r="G233" s="67">
        <f t="shared" ref="G233" si="78">D233*F233</f>
        <v>807696</v>
      </c>
      <c r="H233" s="535"/>
      <c r="I233" s="277">
        <v>143138.97321428571</v>
      </c>
      <c r="J233" s="560">
        <f t="shared" si="68"/>
        <v>1219544.0517857142</v>
      </c>
      <c r="K233" s="576">
        <f t="shared" si="69"/>
        <v>66.229341926380869</v>
      </c>
      <c r="L233" s="528"/>
      <c r="M233" s="528"/>
    </row>
    <row r="234" spans="1:13" s="42" customFormat="1" ht="20.100000000000001" customHeight="1">
      <c r="A234" s="144"/>
      <c r="B234" s="183" t="s">
        <v>185</v>
      </c>
      <c r="C234" s="184"/>
      <c r="D234" s="64"/>
      <c r="E234" s="65"/>
      <c r="F234" s="68"/>
      <c r="G234" s="67"/>
      <c r="H234" s="535"/>
      <c r="I234" s="548"/>
      <c r="J234" s="560">
        <f t="shared" si="68"/>
        <v>0</v>
      </c>
      <c r="K234" s="560"/>
      <c r="L234" s="528"/>
      <c r="M234" s="528"/>
    </row>
    <row r="235" spans="1:13" s="42" customFormat="1" ht="20.100000000000001" customHeight="1">
      <c r="A235" s="144"/>
      <c r="B235" s="187" t="s">
        <v>183</v>
      </c>
      <c r="C235" s="184"/>
      <c r="D235" s="64"/>
      <c r="E235" s="65"/>
      <c r="F235" s="68"/>
      <c r="G235" s="67"/>
      <c r="H235" s="535"/>
      <c r="I235" s="548"/>
      <c r="J235" s="560">
        <f t="shared" si="68"/>
        <v>0</v>
      </c>
      <c r="K235" s="560"/>
      <c r="L235" s="528"/>
      <c r="M235" s="528"/>
    </row>
    <row r="236" spans="1:13" s="42" customFormat="1" ht="20.100000000000001" customHeight="1">
      <c r="A236" s="66">
        <f>A233+1</f>
        <v>23</v>
      </c>
      <c r="B236" s="278" t="s">
        <v>235</v>
      </c>
      <c r="C236" s="184"/>
      <c r="D236" s="64">
        <v>450.68</v>
      </c>
      <c r="E236" s="65" t="s">
        <v>40</v>
      </c>
      <c r="F236" s="277">
        <f>F229</f>
        <v>10000</v>
      </c>
      <c r="G236" s="67">
        <f t="shared" ref="G236:G239" si="79">D236*F236</f>
        <v>4506800</v>
      </c>
      <c r="H236" s="535"/>
      <c r="I236" s="277">
        <v>10839.583333333334</v>
      </c>
      <c r="J236" s="560">
        <f t="shared" si="68"/>
        <v>4885183.416666667</v>
      </c>
      <c r="K236" s="560">
        <f t="shared" si="69"/>
        <v>92.254468575821633</v>
      </c>
      <c r="L236" s="528"/>
      <c r="M236" s="528"/>
    </row>
    <row r="237" spans="1:13" s="42" customFormat="1" ht="20.100000000000001" customHeight="1">
      <c r="A237" s="66">
        <f t="shared" ref="A237:A259" si="80">A236+1</f>
        <v>24</v>
      </c>
      <c r="B237" s="278" t="s">
        <v>234</v>
      </c>
      <c r="C237" s="184"/>
      <c r="D237" s="64">
        <v>60.841800000000006</v>
      </c>
      <c r="E237" s="65" t="s">
        <v>38</v>
      </c>
      <c r="F237" s="277">
        <f t="shared" ref="F237:F240" si="81">F230</f>
        <v>250000</v>
      </c>
      <c r="G237" s="67">
        <f t="shared" si="79"/>
        <v>15210450.000000002</v>
      </c>
      <c r="H237" s="535"/>
      <c r="I237" s="277">
        <v>250318.75000000003</v>
      </c>
      <c r="J237" s="560">
        <f t="shared" si="68"/>
        <v>15229843.323750004</v>
      </c>
      <c r="K237" s="560">
        <f t="shared" si="69"/>
        <v>99.872662355496729</v>
      </c>
      <c r="L237" s="528"/>
      <c r="M237" s="528"/>
    </row>
    <row r="238" spans="1:13" s="42" customFormat="1" ht="20.100000000000001" customHeight="1">
      <c r="A238" s="66">
        <f t="shared" si="80"/>
        <v>25</v>
      </c>
      <c r="B238" s="278" t="s">
        <v>133</v>
      </c>
      <c r="C238" s="184"/>
      <c r="D238" s="64">
        <v>405.61199999999997</v>
      </c>
      <c r="E238" s="65" t="s">
        <v>56</v>
      </c>
      <c r="F238" s="277">
        <f t="shared" si="81"/>
        <v>161000</v>
      </c>
      <c r="G238" s="67">
        <f t="shared" si="79"/>
        <v>65303531.999999993</v>
      </c>
      <c r="H238" s="535"/>
      <c r="I238" s="277">
        <v>166919.5</v>
      </c>
      <c r="J238" s="560">
        <f t="shared" si="68"/>
        <v>67704552.233999997</v>
      </c>
      <c r="K238" s="560">
        <f t="shared" si="69"/>
        <v>96.453679767792252</v>
      </c>
      <c r="L238" s="528"/>
      <c r="M238" s="528"/>
    </row>
    <row r="239" spans="1:13" s="42" customFormat="1" ht="20.100000000000001" customHeight="1">
      <c r="A239" s="66">
        <f t="shared" si="80"/>
        <v>26</v>
      </c>
      <c r="B239" s="278" t="s">
        <v>401</v>
      </c>
      <c r="C239" s="184"/>
      <c r="D239" s="64">
        <v>405.61200000000002</v>
      </c>
      <c r="E239" s="65" t="s">
        <v>52</v>
      </c>
      <c r="F239" s="277">
        <f t="shared" si="81"/>
        <v>94800</v>
      </c>
      <c r="G239" s="67">
        <f t="shared" si="79"/>
        <v>38452017.600000001</v>
      </c>
      <c r="H239" s="535"/>
      <c r="I239" s="277">
        <v>143138.97321428571</v>
      </c>
      <c r="J239" s="560">
        <f t="shared" si="68"/>
        <v>58058885.203392856</v>
      </c>
      <c r="K239" s="576">
        <f t="shared" si="69"/>
        <v>66.229341926380869</v>
      </c>
      <c r="L239" s="528"/>
      <c r="M239" s="528"/>
    </row>
    <row r="240" spans="1:13" s="42" customFormat="1" ht="20.100000000000001" customHeight="1">
      <c r="A240" s="66">
        <f t="shared" si="80"/>
        <v>27</v>
      </c>
      <c r="B240" s="278" t="s">
        <v>402</v>
      </c>
      <c r="C240" s="184"/>
      <c r="D240" s="367">
        <v>45.067999999999998</v>
      </c>
      <c r="E240" s="65" t="s">
        <v>52</v>
      </c>
      <c r="F240" s="277">
        <f t="shared" si="81"/>
        <v>94800</v>
      </c>
      <c r="G240" s="67">
        <f t="shared" ref="G240" si="82">D240*F240</f>
        <v>4272446.3999999994</v>
      </c>
      <c r="H240" s="535"/>
      <c r="I240" s="277">
        <v>143138.97321428571</v>
      </c>
      <c r="J240" s="560">
        <f t="shared" si="68"/>
        <v>6450987.2448214283</v>
      </c>
      <c r="K240" s="576">
        <f t="shared" si="69"/>
        <v>66.229341926380869</v>
      </c>
      <c r="L240" s="528"/>
      <c r="M240" s="528"/>
    </row>
    <row r="241" spans="1:13" s="42" customFormat="1" ht="20.100000000000001" customHeight="1">
      <c r="A241" s="66"/>
      <c r="B241" s="293" t="s">
        <v>180</v>
      </c>
      <c r="C241" s="184"/>
      <c r="D241" s="64"/>
      <c r="E241" s="65"/>
      <c r="F241" s="277"/>
      <c r="G241" s="67"/>
      <c r="H241" s="535"/>
      <c r="I241" s="277"/>
      <c r="J241" s="560">
        <f t="shared" si="68"/>
        <v>0</v>
      </c>
      <c r="K241" s="560"/>
      <c r="L241" s="528"/>
      <c r="M241" s="528"/>
    </row>
    <row r="242" spans="1:13" s="42" customFormat="1" ht="20.100000000000001" customHeight="1">
      <c r="A242" s="66">
        <f>A240+1</f>
        <v>28</v>
      </c>
      <c r="B242" s="278" t="s">
        <v>235</v>
      </c>
      <c r="C242" s="184"/>
      <c r="D242" s="64">
        <v>44.659799999999997</v>
      </c>
      <c r="E242" s="65" t="s">
        <v>40</v>
      </c>
      <c r="F242" s="277">
        <f>F215</f>
        <v>10000</v>
      </c>
      <c r="G242" s="67">
        <f t="shared" ref="G242:G253" si="83">D242*F242</f>
        <v>446597.99999999994</v>
      </c>
      <c r="H242" s="535"/>
      <c r="I242" s="277">
        <v>10839.583333333334</v>
      </c>
      <c r="J242" s="560">
        <f t="shared" si="68"/>
        <v>484093.62374999997</v>
      </c>
      <c r="K242" s="560">
        <f t="shared" si="69"/>
        <v>92.254468575821633</v>
      </c>
      <c r="L242" s="528"/>
      <c r="M242" s="528"/>
    </row>
    <row r="243" spans="1:13" s="42" customFormat="1" ht="20.100000000000001" customHeight="1">
      <c r="A243" s="66">
        <f t="shared" si="80"/>
        <v>29</v>
      </c>
      <c r="B243" s="272" t="s">
        <v>37</v>
      </c>
      <c r="C243" s="273"/>
      <c r="D243" s="274">
        <v>14.523</v>
      </c>
      <c r="E243" s="45" t="s">
        <v>38</v>
      </c>
      <c r="F243" s="277">
        <f t="shared" ref="F243:F244" si="84">F216</f>
        <v>90000</v>
      </c>
      <c r="G243" s="67">
        <f t="shared" si="83"/>
        <v>1307070</v>
      </c>
      <c r="H243" s="535"/>
      <c r="I243" s="277">
        <v>68612.5</v>
      </c>
      <c r="J243" s="560">
        <f t="shared" si="68"/>
        <v>996459.33750000002</v>
      </c>
      <c r="K243" s="560">
        <f t="shared" si="69"/>
        <v>131.17143377664419</v>
      </c>
      <c r="L243" s="528"/>
      <c r="M243" s="528"/>
    </row>
    <row r="244" spans="1:13" s="42" customFormat="1" ht="20.100000000000001" customHeight="1">
      <c r="A244" s="271">
        <f t="shared" si="80"/>
        <v>30</v>
      </c>
      <c r="B244" s="272" t="s">
        <v>10</v>
      </c>
      <c r="C244" s="273"/>
      <c r="D244" s="274">
        <v>0.59099999999999997</v>
      </c>
      <c r="E244" s="45" t="s">
        <v>38</v>
      </c>
      <c r="F244" s="277">
        <f t="shared" si="84"/>
        <v>350000</v>
      </c>
      <c r="G244" s="67">
        <f t="shared" si="83"/>
        <v>206850</v>
      </c>
      <c r="H244" s="535"/>
      <c r="I244" s="277">
        <v>257207.50000000003</v>
      </c>
      <c r="J244" s="560">
        <f t="shared" si="68"/>
        <v>152009.63250000001</v>
      </c>
      <c r="K244" s="560">
        <f t="shared" si="69"/>
        <v>136.07690288969022</v>
      </c>
      <c r="L244" s="528"/>
      <c r="M244" s="528"/>
    </row>
    <row r="245" spans="1:13" s="42" customFormat="1" ht="20.100000000000001" customHeight="1">
      <c r="A245" s="66">
        <f t="shared" si="80"/>
        <v>31</v>
      </c>
      <c r="B245" s="278" t="s">
        <v>234</v>
      </c>
      <c r="C245" s="184"/>
      <c r="D245" s="64">
        <v>3.3570600000000002</v>
      </c>
      <c r="E245" s="65" t="s">
        <v>38</v>
      </c>
      <c r="F245" s="277">
        <f t="shared" ref="F245:F250" si="85">F218</f>
        <v>250000</v>
      </c>
      <c r="G245" s="67">
        <f t="shared" si="83"/>
        <v>839265</v>
      </c>
      <c r="H245" s="535"/>
      <c r="I245" s="277">
        <v>250318.75000000003</v>
      </c>
      <c r="J245" s="560">
        <f t="shared" si="68"/>
        <v>840335.06287500018</v>
      </c>
      <c r="K245" s="560">
        <f t="shared" si="69"/>
        <v>99.872662355496729</v>
      </c>
      <c r="L245" s="528"/>
      <c r="M245" s="528"/>
    </row>
    <row r="246" spans="1:13" s="42" customFormat="1" ht="20.100000000000001" customHeight="1">
      <c r="A246" s="66">
        <f t="shared" si="80"/>
        <v>32</v>
      </c>
      <c r="B246" s="272" t="s">
        <v>50</v>
      </c>
      <c r="C246" s="273"/>
      <c r="D246" s="274">
        <v>7.9067999999999996</v>
      </c>
      <c r="E246" s="45" t="s">
        <v>38</v>
      </c>
      <c r="F246" s="277">
        <f t="shared" si="85"/>
        <v>900000</v>
      </c>
      <c r="G246" s="67">
        <f t="shared" si="83"/>
        <v>7116120</v>
      </c>
      <c r="H246" s="535"/>
      <c r="I246" s="277">
        <v>1120599.7000000002</v>
      </c>
      <c r="J246" s="560">
        <f t="shared" si="68"/>
        <v>8860357.7079600003</v>
      </c>
      <c r="K246" s="560">
        <f t="shared" si="69"/>
        <v>80.314138938284557</v>
      </c>
      <c r="L246" s="528"/>
      <c r="M246" s="528"/>
    </row>
    <row r="247" spans="1:13" s="42" customFormat="1" ht="20.100000000000001" customHeight="1">
      <c r="A247" s="66">
        <f t="shared" ref="A247:A248" si="86">1+A246</f>
        <v>33</v>
      </c>
      <c r="B247" s="286" t="s">
        <v>64</v>
      </c>
      <c r="C247" s="281"/>
      <c r="D247" s="64">
        <v>0.91231799999999996</v>
      </c>
      <c r="E247" s="81" t="s">
        <v>70</v>
      </c>
      <c r="F247" s="277">
        <f t="shared" si="85"/>
        <v>950000</v>
      </c>
      <c r="G247" s="67">
        <f t="shared" si="83"/>
        <v>866702.1</v>
      </c>
      <c r="H247" s="535"/>
      <c r="I247" s="277">
        <v>1110010.5092592593</v>
      </c>
      <c r="J247" s="560">
        <f t="shared" si="68"/>
        <v>1012682.5677863889</v>
      </c>
      <c r="K247" s="560">
        <f t="shared" si="69"/>
        <v>85.584775285953029</v>
      </c>
      <c r="L247" s="528"/>
      <c r="M247" s="528"/>
    </row>
    <row r="248" spans="1:13" s="42" customFormat="1" ht="20.100000000000001" customHeight="1">
      <c r="A248" s="66">
        <f t="shared" si="86"/>
        <v>34</v>
      </c>
      <c r="B248" s="280" t="s">
        <v>167</v>
      </c>
      <c r="C248" s="281"/>
      <c r="D248" s="64">
        <v>0.13500000000000001</v>
      </c>
      <c r="E248" s="81" t="s">
        <v>70</v>
      </c>
      <c r="F248" s="277">
        <f t="shared" si="85"/>
        <v>4000000</v>
      </c>
      <c r="G248" s="67">
        <f t="shared" si="83"/>
        <v>540000</v>
      </c>
      <c r="H248" s="535"/>
      <c r="I248" s="277">
        <v>3011394.5462962966</v>
      </c>
      <c r="J248" s="560">
        <f t="shared" si="68"/>
        <v>406538.2637500001</v>
      </c>
      <c r="K248" s="560">
        <f t="shared" si="69"/>
        <v>132.82882526700413</v>
      </c>
      <c r="L248" s="528"/>
      <c r="M248" s="528"/>
    </row>
    <row r="249" spans="1:13" s="42" customFormat="1" ht="20.100000000000001" customHeight="1">
      <c r="A249" s="66">
        <f t="shared" ref="A249:A253" si="87">1+A248</f>
        <v>35</v>
      </c>
      <c r="B249" s="280" t="s">
        <v>137</v>
      </c>
      <c r="C249" s="281"/>
      <c r="D249" s="64">
        <v>3.1415839999999999</v>
      </c>
      <c r="E249" s="81" t="s">
        <v>70</v>
      </c>
      <c r="F249" s="277">
        <f t="shared" si="85"/>
        <v>3500000</v>
      </c>
      <c r="G249" s="67">
        <f t="shared" si="83"/>
        <v>10995544</v>
      </c>
      <c r="H249" s="535"/>
      <c r="I249" s="277">
        <v>2448894.5462962966</v>
      </c>
      <c r="J249" s="560">
        <f t="shared" si="68"/>
        <v>7693407.9243317051</v>
      </c>
      <c r="K249" s="560">
        <f t="shared" si="69"/>
        <v>142.92162989596238</v>
      </c>
      <c r="L249" s="528"/>
      <c r="M249" s="528"/>
    </row>
    <row r="250" spans="1:13" s="42" customFormat="1" ht="20.100000000000001" customHeight="1">
      <c r="A250" s="66">
        <f t="shared" si="87"/>
        <v>36</v>
      </c>
      <c r="B250" s="272" t="s">
        <v>182</v>
      </c>
      <c r="C250" s="273"/>
      <c r="D250" s="274">
        <v>41.781799999999997</v>
      </c>
      <c r="E250" s="45" t="s">
        <v>40</v>
      </c>
      <c r="F250" s="277">
        <f t="shared" si="85"/>
        <v>40000</v>
      </c>
      <c r="G250" s="67">
        <f t="shared" si="83"/>
        <v>1671271.9999999998</v>
      </c>
      <c r="H250" s="535"/>
      <c r="I250" s="277">
        <v>45665.675000000003</v>
      </c>
      <c r="J250" s="560">
        <f t="shared" si="68"/>
        <v>1907994.099715</v>
      </c>
      <c r="K250" s="560">
        <f t="shared" si="69"/>
        <v>87.5931429897839</v>
      </c>
      <c r="L250" s="528"/>
      <c r="M250" s="528"/>
    </row>
    <row r="251" spans="1:13" s="42" customFormat="1" ht="20.100000000000001" customHeight="1">
      <c r="A251" s="66">
        <f t="shared" si="87"/>
        <v>37</v>
      </c>
      <c r="B251" s="272" t="s">
        <v>103</v>
      </c>
      <c r="C251" s="273"/>
      <c r="D251" s="274">
        <v>3.5999999999999996</v>
      </c>
      <c r="E251" s="45" t="s">
        <v>40</v>
      </c>
      <c r="F251" s="277">
        <f t="shared" ref="F251:F253" si="88">F224</f>
        <v>40000</v>
      </c>
      <c r="G251" s="67">
        <f t="shared" si="83"/>
        <v>144000</v>
      </c>
      <c r="H251" s="535"/>
      <c r="I251" s="277">
        <v>45665.675000000003</v>
      </c>
      <c r="J251" s="560">
        <f t="shared" si="68"/>
        <v>164396.43</v>
      </c>
      <c r="K251" s="560">
        <f t="shared" si="69"/>
        <v>87.5931429897839</v>
      </c>
      <c r="L251" s="528"/>
      <c r="M251" s="528"/>
    </row>
    <row r="252" spans="1:13" s="42" customFormat="1" ht="20.100000000000001" customHeight="1">
      <c r="A252" s="66">
        <f t="shared" si="87"/>
        <v>38</v>
      </c>
      <c r="B252" s="278" t="s">
        <v>133</v>
      </c>
      <c r="C252" s="184"/>
      <c r="D252" s="64">
        <v>3.16</v>
      </c>
      <c r="E252" s="65" t="s">
        <v>56</v>
      </c>
      <c r="F252" s="277">
        <f t="shared" si="88"/>
        <v>161000</v>
      </c>
      <c r="G252" s="67">
        <f t="shared" si="83"/>
        <v>508760</v>
      </c>
      <c r="H252" s="535"/>
      <c r="I252" s="277">
        <v>166919.5</v>
      </c>
      <c r="J252" s="560">
        <f t="shared" si="68"/>
        <v>527465.62</v>
      </c>
      <c r="K252" s="560">
        <f t="shared" si="69"/>
        <v>96.453679767792252</v>
      </c>
      <c r="L252" s="528"/>
      <c r="M252" s="528"/>
    </row>
    <row r="253" spans="1:13" s="42" customFormat="1" ht="20.100000000000001" customHeight="1">
      <c r="A253" s="66">
        <f t="shared" si="87"/>
        <v>39</v>
      </c>
      <c r="B253" s="278" t="s">
        <v>401</v>
      </c>
      <c r="C253" s="184"/>
      <c r="D253" s="64">
        <v>3.5</v>
      </c>
      <c r="E253" s="65" t="s">
        <v>52</v>
      </c>
      <c r="F253" s="277">
        <f t="shared" si="88"/>
        <v>94800</v>
      </c>
      <c r="G253" s="67">
        <f t="shared" si="83"/>
        <v>331800</v>
      </c>
      <c r="H253" s="535"/>
      <c r="I253" s="277">
        <v>143138.97321428571</v>
      </c>
      <c r="J253" s="560">
        <f t="shared" si="68"/>
        <v>500986.40625</v>
      </c>
      <c r="K253" s="576">
        <f t="shared" si="69"/>
        <v>66.229341926380869</v>
      </c>
      <c r="L253" s="528"/>
      <c r="M253" s="528"/>
    </row>
    <row r="254" spans="1:13" s="42" customFormat="1" ht="20.100000000000001" customHeight="1">
      <c r="A254" s="144"/>
      <c r="B254" s="187" t="s">
        <v>181</v>
      </c>
      <c r="C254" s="184"/>
      <c r="D254" s="64"/>
      <c r="E254" s="65"/>
      <c r="F254" s="68"/>
      <c r="G254" s="67"/>
      <c r="H254" s="535"/>
      <c r="I254" s="548"/>
      <c r="J254" s="560">
        <f t="shared" si="68"/>
        <v>0</v>
      </c>
      <c r="K254" s="560"/>
      <c r="L254" s="528"/>
      <c r="M254" s="528"/>
    </row>
    <row r="255" spans="1:13" s="42" customFormat="1" ht="20.100000000000001" customHeight="1">
      <c r="A255" s="66">
        <f>A253+1</f>
        <v>40</v>
      </c>
      <c r="B255" s="278" t="s">
        <v>39</v>
      </c>
      <c r="C255" s="184"/>
      <c r="D255" s="64">
        <v>94.24</v>
      </c>
      <c r="E255" s="65" t="s">
        <v>40</v>
      </c>
      <c r="F255" s="277">
        <f>F229</f>
        <v>10000</v>
      </c>
      <c r="G255" s="67">
        <f t="shared" ref="G255:G258" si="89">D255*F255</f>
        <v>942400</v>
      </c>
      <c r="H255" s="535"/>
      <c r="I255" s="277">
        <v>10839.583333333334</v>
      </c>
      <c r="J255" s="560">
        <f t="shared" si="68"/>
        <v>1021522.3333333334</v>
      </c>
      <c r="K255" s="560">
        <f t="shared" si="69"/>
        <v>92.254468575821633</v>
      </c>
      <c r="L255" s="528"/>
      <c r="M255" s="528"/>
    </row>
    <row r="256" spans="1:13" s="42" customFormat="1" ht="20.100000000000001" customHeight="1">
      <c r="A256" s="66">
        <f t="shared" si="80"/>
        <v>41</v>
      </c>
      <c r="B256" s="278" t="s">
        <v>234</v>
      </c>
      <c r="C256" s="184"/>
      <c r="D256" s="64">
        <v>8.9280000000000026</v>
      </c>
      <c r="E256" s="65" t="s">
        <v>38</v>
      </c>
      <c r="F256" s="277">
        <f t="shared" ref="F256:F259" si="90">F230</f>
        <v>250000</v>
      </c>
      <c r="G256" s="67">
        <f t="shared" si="89"/>
        <v>2232000.0000000005</v>
      </c>
      <c r="H256" s="535"/>
      <c r="I256" s="277">
        <v>250318.75000000003</v>
      </c>
      <c r="J256" s="560">
        <f t="shared" si="68"/>
        <v>2234845.8000000007</v>
      </c>
      <c r="K256" s="560">
        <f t="shared" si="69"/>
        <v>99.872662355496729</v>
      </c>
      <c r="L256" s="528"/>
      <c r="M256" s="528"/>
    </row>
    <row r="257" spans="1:13" s="42" customFormat="1" ht="20.100000000000001" customHeight="1">
      <c r="A257" s="66">
        <f t="shared" si="80"/>
        <v>42</v>
      </c>
      <c r="B257" s="278" t="s">
        <v>133</v>
      </c>
      <c r="C257" s="184"/>
      <c r="D257" s="64">
        <v>89.28</v>
      </c>
      <c r="E257" s="65" t="s">
        <v>56</v>
      </c>
      <c r="F257" s="277">
        <f t="shared" si="90"/>
        <v>161000</v>
      </c>
      <c r="G257" s="67">
        <f t="shared" si="89"/>
        <v>14374080</v>
      </c>
      <c r="H257" s="535"/>
      <c r="I257" s="277">
        <v>166919.5</v>
      </c>
      <c r="J257" s="560">
        <f t="shared" si="68"/>
        <v>14902572.960000001</v>
      </c>
      <c r="K257" s="560">
        <f t="shared" si="69"/>
        <v>96.453679767792252</v>
      </c>
      <c r="L257" s="528"/>
      <c r="M257" s="528"/>
    </row>
    <row r="258" spans="1:13" s="42" customFormat="1" ht="20.100000000000001" customHeight="1">
      <c r="A258" s="66">
        <f t="shared" si="80"/>
        <v>43</v>
      </c>
      <c r="B258" s="278" t="s">
        <v>401</v>
      </c>
      <c r="C258" s="184"/>
      <c r="D258" s="64">
        <v>51.12</v>
      </c>
      <c r="E258" s="65" t="s">
        <v>52</v>
      </c>
      <c r="F258" s="277">
        <f t="shared" si="90"/>
        <v>94800</v>
      </c>
      <c r="G258" s="67">
        <f t="shared" si="89"/>
        <v>4846176</v>
      </c>
      <c r="H258" s="535"/>
      <c r="I258" s="277">
        <v>143138.97321428571</v>
      </c>
      <c r="J258" s="560">
        <f t="shared" si="68"/>
        <v>7317264.3107142849</v>
      </c>
      <c r="K258" s="576">
        <f t="shared" si="69"/>
        <v>66.229341926380869</v>
      </c>
      <c r="L258" s="528"/>
      <c r="M258" s="528"/>
    </row>
    <row r="259" spans="1:13" s="42" customFormat="1" ht="20.100000000000001" customHeight="1">
      <c r="A259" s="66">
        <f t="shared" si="80"/>
        <v>44</v>
      </c>
      <c r="B259" s="278" t="s">
        <v>402</v>
      </c>
      <c r="C259" s="184"/>
      <c r="D259" s="367">
        <v>5.68</v>
      </c>
      <c r="E259" s="65" t="s">
        <v>52</v>
      </c>
      <c r="F259" s="277">
        <f t="shared" si="90"/>
        <v>94800</v>
      </c>
      <c r="G259" s="67">
        <f t="shared" ref="G259" si="91">D259*F259</f>
        <v>538464</v>
      </c>
      <c r="H259" s="535"/>
      <c r="I259" s="277">
        <v>143138.97321428571</v>
      </c>
      <c r="J259" s="560">
        <f t="shared" si="68"/>
        <v>813029.36785714282</v>
      </c>
      <c r="K259" s="576">
        <f t="shared" si="69"/>
        <v>66.229341926380869</v>
      </c>
      <c r="L259" s="528"/>
      <c r="M259" s="528"/>
    </row>
    <row r="260" spans="1:13" s="42" customFormat="1" ht="20.100000000000001" customHeight="1">
      <c r="A260" s="144"/>
      <c r="B260" s="183" t="s">
        <v>186</v>
      </c>
      <c r="C260" s="184"/>
      <c r="D260" s="64"/>
      <c r="E260" s="65"/>
      <c r="F260" s="277"/>
      <c r="G260" s="67"/>
      <c r="H260" s="535"/>
      <c r="I260" s="548"/>
      <c r="J260" s="560">
        <f t="shared" si="68"/>
        <v>0</v>
      </c>
      <c r="K260" s="560"/>
      <c r="L260" s="528"/>
      <c r="M260" s="528"/>
    </row>
    <row r="261" spans="1:13" s="42" customFormat="1" ht="20.100000000000001" customHeight="1">
      <c r="A261" s="144"/>
      <c r="B261" s="187" t="s">
        <v>183</v>
      </c>
      <c r="C261" s="184"/>
      <c r="D261" s="64"/>
      <c r="E261" s="65"/>
      <c r="F261" s="68"/>
      <c r="G261" s="67"/>
      <c r="H261" s="535"/>
      <c r="I261" s="548"/>
      <c r="J261" s="560">
        <f t="shared" si="68"/>
        <v>0</v>
      </c>
      <c r="K261" s="560"/>
      <c r="L261" s="528"/>
      <c r="M261" s="528"/>
    </row>
    <row r="262" spans="1:13" s="42" customFormat="1" ht="20.100000000000001" customHeight="1">
      <c r="A262" s="66">
        <f>A259+1</f>
        <v>45</v>
      </c>
      <c r="B262" s="278" t="s">
        <v>39</v>
      </c>
      <c r="C262" s="184"/>
      <c r="D262" s="64">
        <v>1523.3</v>
      </c>
      <c r="E262" s="65" t="s">
        <v>40</v>
      </c>
      <c r="F262" s="277">
        <f>F255</f>
        <v>10000</v>
      </c>
      <c r="G262" s="67">
        <f t="shared" ref="G262:G265" si="92">D262*F262</f>
        <v>15233000</v>
      </c>
      <c r="H262" s="535"/>
      <c r="I262" s="277">
        <v>10839.583333333334</v>
      </c>
      <c r="J262" s="560">
        <f t="shared" si="68"/>
        <v>16511937.291666668</v>
      </c>
      <c r="K262" s="560">
        <f t="shared" si="69"/>
        <v>92.254468575821633</v>
      </c>
      <c r="L262" s="528"/>
      <c r="M262" s="528"/>
    </row>
    <row r="263" spans="1:13" s="42" customFormat="1" ht="20.100000000000001" customHeight="1">
      <c r="A263" s="66">
        <f t="shared" ref="A263:A272" si="93">A262+1</f>
        <v>46</v>
      </c>
      <c r="B263" s="278" t="s">
        <v>234</v>
      </c>
      <c r="C263" s="184"/>
      <c r="D263" s="64">
        <v>137.09700000000004</v>
      </c>
      <c r="E263" s="65" t="s">
        <v>38</v>
      </c>
      <c r="F263" s="277">
        <f t="shared" ref="F263:F266" si="94">F256</f>
        <v>250000</v>
      </c>
      <c r="G263" s="67">
        <f t="shared" si="92"/>
        <v>34274250.000000007</v>
      </c>
      <c r="H263" s="535"/>
      <c r="I263" s="277">
        <v>250318.75000000003</v>
      </c>
      <c r="J263" s="560">
        <f t="shared" si="68"/>
        <v>34317949.66875001</v>
      </c>
      <c r="K263" s="560">
        <f t="shared" si="69"/>
        <v>99.872662355496729</v>
      </c>
      <c r="L263" s="528"/>
      <c r="M263" s="528"/>
    </row>
    <row r="264" spans="1:13" s="42" customFormat="1" ht="20.100000000000001" customHeight="1">
      <c r="A264" s="66">
        <f t="shared" si="93"/>
        <v>47</v>
      </c>
      <c r="B264" s="278" t="s">
        <v>133</v>
      </c>
      <c r="C264" s="184"/>
      <c r="D264" s="64">
        <v>1370.97</v>
      </c>
      <c r="E264" s="65" t="s">
        <v>56</v>
      </c>
      <c r="F264" s="277">
        <f t="shared" si="94"/>
        <v>161000</v>
      </c>
      <c r="G264" s="67">
        <f t="shared" si="92"/>
        <v>220726170</v>
      </c>
      <c r="H264" s="535"/>
      <c r="I264" s="277">
        <v>166919.5</v>
      </c>
      <c r="J264" s="560">
        <f t="shared" si="68"/>
        <v>228841626.91499999</v>
      </c>
      <c r="K264" s="560">
        <f t="shared" si="69"/>
        <v>96.453679767792252</v>
      </c>
      <c r="L264" s="528"/>
      <c r="M264" s="528"/>
    </row>
    <row r="265" spans="1:13" s="42" customFormat="1" ht="20.100000000000001" customHeight="1">
      <c r="A265" s="66">
        <f t="shared" si="93"/>
        <v>48</v>
      </c>
      <c r="B265" s="278" t="s">
        <v>401</v>
      </c>
      <c r="C265" s="184"/>
      <c r="D265" s="64">
        <v>1370.97</v>
      </c>
      <c r="E265" s="65" t="s">
        <v>52</v>
      </c>
      <c r="F265" s="277">
        <f t="shared" si="94"/>
        <v>94800</v>
      </c>
      <c r="G265" s="67">
        <f t="shared" si="92"/>
        <v>129967956</v>
      </c>
      <c r="H265" s="535"/>
      <c r="I265" s="277">
        <v>143138.97321428571</v>
      </c>
      <c r="J265" s="560">
        <f t="shared" si="68"/>
        <v>196239238.10758927</v>
      </c>
      <c r="K265" s="576">
        <f t="shared" si="69"/>
        <v>66.229341926380869</v>
      </c>
      <c r="L265" s="528"/>
      <c r="M265" s="528"/>
    </row>
    <row r="266" spans="1:13" s="42" customFormat="1" ht="20.100000000000001" customHeight="1">
      <c r="A266" s="66">
        <f t="shared" si="93"/>
        <v>49</v>
      </c>
      <c r="B266" s="278" t="s">
        <v>402</v>
      </c>
      <c r="C266" s="184"/>
      <c r="D266" s="367">
        <v>152.32999999999998</v>
      </c>
      <c r="E266" s="65" t="s">
        <v>52</v>
      </c>
      <c r="F266" s="277">
        <f t="shared" si="94"/>
        <v>94800</v>
      </c>
      <c r="G266" s="67">
        <f t="shared" ref="G266" si="95">D266*F266</f>
        <v>14440883.999999998</v>
      </c>
      <c r="H266" s="535"/>
      <c r="I266" s="277">
        <v>143138.97321428571</v>
      </c>
      <c r="J266" s="560">
        <f t="shared" si="68"/>
        <v>21804359.78973214</v>
      </c>
      <c r="K266" s="576">
        <f t="shared" si="69"/>
        <v>66.229341926380869</v>
      </c>
      <c r="L266" s="528"/>
      <c r="M266" s="528"/>
    </row>
    <row r="267" spans="1:13" s="42" customFormat="1" ht="20.100000000000001" customHeight="1">
      <c r="A267" s="66"/>
      <c r="B267" s="293" t="s">
        <v>180</v>
      </c>
      <c r="C267" s="184"/>
      <c r="D267" s="64"/>
      <c r="E267" s="65"/>
      <c r="F267" s="277"/>
      <c r="G267" s="67"/>
      <c r="H267" s="535"/>
      <c r="I267" s="277"/>
      <c r="J267" s="560">
        <f t="shared" si="68"/>
        <v>0</v>
      </c>
      <c r="K267" s="560"/>
      <c r="L267" s="528"/>
      <c r="M267" s="528"/>
    </row>
    <row r="268" spans="1:13" s="42" customFormat="1" ht="20.100000000000001" customHeight="1">
      <c r="A268" s="66">
        <f>A266+1</f>
        <v>50</v>
      </c>
      <c r="B268" s="278" t="s">
        <v>235</v>
      </c>
      <c r="C268" s="184"/>
      <c r="D268" s="64">
        <v>115.92209999999999</v>
      </c>
      <c r="E268" s="65" t="s">
        <v>40</v>
      </c>
      <c r="F268" s="277">
        <f>F242</f>
        <v>10000</v>
      </c>
      <c r="G268" s="67">
        <f t="shared" ref="G268:G279" si="96">D268*F268</f>
        <v>1159220.9999999998</v>
      </c>
      <c r="H268" s="535"/>
      <c r="I268" s="277">
        <v>10839.583333333334</v>
      </c>
      <c r="J268" s="560">
        <f t="shared" si="68"/>
        <v>1256547.2631249998</v>
      </c>
      <c r="K268" s="560">
        <f t="shared" si="69"/>
        <v>92.254468575821633</v>
      </c>
      <c r="L268" s="528"/>
      <c r="M268" s="528"/>
    </row>
    <row r="269" spans="1:13" s="42" customFormat="1" ht="20.100000000000001" customHeight="1">
      <c r="A269" s="66">
        <f t="shared" si="93"/>
        <v>51</v>
      </c>
      <c r="B269" s="272" t="s">
        <v>37</v>
      </c>
      <c r="C269" s="273"/>
      <c r="D269" s="274">
        <v>67.984499999999997</v>
      </c>
      <c r="E269" s="45" t="s">
        <v>38</v>
      </c>
      <c r="F269" s="277">
        <f t="shared" ref="F269:F279" si="97">F243</f>
        <v>90000</v>
      </c>
      <c r="G269" s="67">
        <f t="shared" si="96"/>
        <v>6118605</v>
      </c>
      <c r="H269" s="535"/>
      <c r="I269" s="277">
        <v>68612.5</v>
      </c>
      <c r="J269" s="560">
        <f t="shared" si="68"/>
        <v>4664586.5062499996</v>
      </c>
      <c r="K269" s="560">
        <f t="shared" si="69"/>
        <v>131.17143377664419</v>
      </c>
      <c r="L269" s="528"/>
      <c r="M269" s="528"/>
    </row>
    <row r="270" spans="1:13" s="42" customFormat="1" ht="20.100000000000001" customHeight="1">
      <c r="A270" s="271">
        <f t="shared" si="93"/>
        <v>52</v>
      </c>
      <c r="B270" s="272" t="s">
        <v>10</v>
      </c>
      <c r="C270" s="273"/>
      <c r="D270" s="274">
        <v>1.5595000000000001</v>
      </c>
      <c r="E270" s="45" t="s">
        <v>38</v>
      </c>
      <c r="F270" s="277">
        <f t="shared" si="97"/>
        <v>350000</v>
      </c>
      <c r="G270" s="67">
        <f t="shared" si="96"/>
        <v>545825</v>
      </c>
      <c r="H270" s="535"/>
      <c r="I270" s="277">
        <v>257207.50000000003</v>
      </c>
      <c r="J270" s="560">
        <f t="shared" si="68"/>
        <v>401115.09625000006</v>
      </c>
      <c r="K270" s="560">
        <f t="shared" ref="K270:K333" si="98">F270/I270*100</f>
        <v>136.07690288969022</v>
      </c>
      <c r="L270" s="528"/>
      <c r="M270" s="528"/>
    </row>
    <row r="271" spans="1:13" s="42" customFormat="1" ht="20.100000000000001" customHeight="1">
      <c r="A271" s="66">
        <f t="shared" si="93"/>
        <v>53</v>
      </c>
      <c r="B271" s="278" t="s">
        <v>234</v>
      </c>
      <c r="C271" s="184"/>
      <c r="D271" s="64">
        <v>9.9858466666666672</v>
      </c>
      <c r="E271" s="65" t="s">
        <v>38</v>
      </c>
      <c r="F271" s="277">
        <f t="shared" si="97"/>
        <v>250000</v>
      </c>
      <c r="G271" s="67">
        <f t="shared" si="96"/>
        <v>2496461.666666667</v>
      </c>
      <c r="H271" s="535"/>
      <c r="I271" s="277">
        <v>250318.75000000003</v>
      </c>
      <c r="J271" s="560">
        <f t="shared" si="68"/>
        <v>2499644.6552916672</v>
      </c>
      <c r="K271" s="560">
        <f t="shared" si="98"/>
        <v>99.872662355496729</v>
      </c>
      <c r="L271" s="528"/>
      <c r="M271" s="528"/>
    </row>
    <row r="272" spans="1:13" s="42" customFormat="1" ht="20.100000000000001" customHeight="1">
      <c r="A272" s="66">
        <f t="shared" si="93"/>
        <v>54</v>
      </c>
      <c r="B272" s="272" t="s">
        <v>50</v>
      </c>
      <c r="C272" s="273"/>
      <c r="D272" s="274">
        <v>18.280200000000001</v>
      </c>
      <c r="E272" s="45" t="s">
        <v>38</v>
      </c>
      <c r="F272" s="277">
        <f t="shared" si="97"/>
        <v>900000</v>
      </c>
      <c r="G272" s="67">
        <f t="shared" si="96"/>
        <v>16452180</v>
      </c>
      <c r="H272" s="535"/>
      <c r="I272" s="277">
        <v>1120599.7000000002</v>
      </c>
      <c r="J272" s="560">
        <f t="shared" si="68"/>
        <v>20484786.635940004</v>
      </c>
      <c r="K272" s="560">
        <f t="shared" si="98"/>
        <v>80.314138938284557</v>
      </c>
      <c r="L272" s="528"/>
      <c r="M272" s="528"/>
    </row>
    <row r="273" spans="1:13" s="42" customFormat="1" ht="20.100000000000001" customHeight="1">
      <c r="A273" s="66">
        <f t="shared" ref="A273:A274" si="99">1+A272</f>
        <v>55</v>
      </c>
      <c r="B273" s="286" t="s">
        <v>64</v>
      </c>
      <c r="C273" s="281"/>
      <c r="D273" s="64">
        <v>1.3684769999999999</v>
      </c>
      <c r="E273" s="81" t="s">
        <v>70</v>
      </c>
      <c r="F273" s="277">
        <f t="shared" si="97"/>
        <v>950000</v>
      </c>
      <c r="G273" s="67">
        <f t="shared" si="96"/>
        <v>1300053.1499999999</v>
      </c>
      <c r="H273" s="535"/>
      <c r="I273" s="277">
        <v>1110010.5092592593</v>
      </c>
      <c r="J273" s="560">
        <f t="shared" ref="J273:J307" si="100">D273*I273</f>
        <v>1519023.8516795833</v>
      </c>
      <c r="K273" s="560">
        <f t="shared" si="98"/>
        <v>85.584775285953029</v>
      </c>
      <c r="L273" s="528"/>
      <c r="M273" s="528"/>
    </row>
    <row r="274" spans="1:13" s="42" customFormat="1" ht="20.100000000000001" customHeight="1">
      <c r="A274" s="66">
        <f t="shared" si="99"/>
        <v>56</v>
      </c>
      <c r="B274" s="280" t="s">
        <v>167</v>
      </c>
      <c r="C274" s="281"/>
      <c r="D274" s="64">
        <v>1.2150000000000001</v>
      </c>
      <c r="E274" s="81" t="s">
        <v>70</v>
      </c>
      <c r="F274" s="277">
        <f t="shared" si="97"/>
        <v>4000000</v>
      </c>
      <c r="G274" s="67">
        <f t="shared" si="96"/>
        <v>4860000</v>
      </c>
      <c r="H274" s="535"/>
      <c r="I274" s="277">
        <v>3011394.5462962966</v>
      </c>
      <c r="J274" s="560">
        <f t="shared" si="100"/>
        <v>3658844.3737500007</v>
      </c>
      <c r="K274" s="560">
        <f t="shared" si="98"/>
        <v>132.82882526700413</v>
      </c>
      <c r="L274" s="528"/>
      <c r="M274" s="528"/>
    </row>
    <row r="275" spans="1:13" s="42" customFormat="1" ht="20.100000000000001" customHeight="1">
      <c r="A275" s="66">
        <f t="shared" ref="A275:A278" si="101">1+A274</f>
        <v>57</v>
      </c>
      <c r="B275" s="280" t="s">
        <v>137</v>
      </c>
      <c r="C275" s="281"/>
      <c r="D275" s="64">
        <v>4.7123759999999999</v>
      </c>
      <c r="E275" s="81" t="s">
        <v>70</v>
      </c>
      <c r="F275" s="277">
        <f t="shared" si="97"/>
        <v>3500000</v>
      </c>
      <c r="G275" s="67">
        <f t="shared" si="96"/>
        <v>16493316</v>
      </c>
      <c r="H275" s="535"/>
      <c r="I275" s="277">
        <v>2448894.5462962966</v>
      </c>
      <c r="J275" s="560">
        <f t="shared" si="100"/>
        <v>11540111.886497557</v>
      </c>
      <c r="K275" s="560">
        <f t="shared" si="98"/>
        <v>142.92162989596238</v>
      </c>
      <c r="L275" s="528"/>
      <c r="M275" s="528"/>
    </row>
    <row r="276" spans="1:13" s="42" customFormat="1" ht="20.100000000000001" customHeight="1">
      <c r="A276" s="66">
        <f t="shared" si="101"/>
        <v>58</v>
      </c>
      <c r="B276" s="272" t="s">
        <v>182</v>
      </c>
      <c r="C276" s="273"/>
      <c r="D276" s="274">
        <v>62.672699999999992</v>
      </c>
      <c r="E276" s="45" t="s">
        <v>40</v>
      </c>
      <c r="F276" s="277">
        <f t="shared" si="97"/>
        <v>40000</v>
      </c>
      <c r="G276" s="67">
        <f t="shared" si="96"/>
        <v>2506907.9999999995</v>
      </c>
      <c r="H276" s="535"/>
      <c r="I276" s="277">
        <v>45665.675000000003</v>
      </c>
      <c r="J276" s="560">
        <f t="shared" si="100"/>
        <v>2861991.1495725</v>
      </c>
      <c r="K276" s="560">
        <f t="shared" si="98"/>
        <v>87.5931429897839</v>
      </c>
      <c r="L276" s="528"/>
      <c r="M276" s="528"/>
    </row>
    <row r="277" spans="1:13" s="42" customFormat="1" ht="20.100000000000001" customHeight="1">
      <c r="A277" s="66">
        <f t="shared" si="101"/>
        <v>59</v>
      </c>
      <c r="B277" s="272" t="s">
        <v>103</v>
      </c>
      <c r="C277" s="273"/>
      <c r="D277" s="274">
        <v>32.4</v>
      </c>
      <c r="E277" s="45" t="s">
        <v>40</v>
      </c>
      <c r="F277" s="277">
        <f t="shared" si="97"/>
        <v>40000</v>
      </c>
      <c r="G277" s="67">
        <f t="shared" si="96"/>
        <v>1296000</v>
      </c>
      <c r="H277" s="535"/>
      <c r="I277" s="277">
        <v>45665.675000000003</v>
      </c>
      <c r="J277" s="560">
        <f t="shared" si="100"/>
        <v>1479567.87</v>
      </c>
      <c r="K277" s="560">
        <f t="shared" si="98"/>
        <v>87.5931429897839</v>
      </c>
      <c r="L277" s="528"/>
      <c r="M277" s="528"/>
    </row>
    <row r="278" spans="1:13" s="42" customFormat="1" ht="20.100000000000001" customHeight="1">
      <c r="A278" s="66">
        <f t="shared" si="101"/>
        <v>60</v>
      </c>
      <c r="B278" s="278" t="s">
        <v>133</v>
      </c>
      <c r="C278" s="184"/>
      <c r="D278" s="64">
        <v>24.279999999999998</v>
      </c>
      <c r="E278" s="65" t="s">
        <v>56</v>
      </c>
      <c r="F278" s="277">
        <f t="shared" si="97"/>
        <v>161000</v>
      </c>
      <c r="G278" s="67">
        <f t="shared" si="96"/>
        <v>3909079.9999999995</v>
      </c>
      <c r="H278" s="535"/>
      <c r="I278" s="277">
        <v>166919.5</v>
      </c>
      <c r="J278" s="560">
        <f t="shared" si="100"/>
        <v>4052805.4599999995</v>
      </c>
      <c r="K278" s="560">
        <f t="shared" si="98"/>
        <v>96.453679767792252</v>
      </c>
      <c r="L278" s="528"/>
      <c r="M278" s="528"/>
    </row>
    <row r="279" spans="1:13" s="42" customFormat="1" ht="20.100000000000001" customHeight="1">
      <c r="A279" s="66">
        <f t="shared" ref="A279:A280" si="102">A278+1</f>
        <v>61</v>
      </c>
      <c r="B279" s="278" t="s">
        <v>401</v>
      </c>
      <c r="C279" s="184"/>
      <c r="D279" s="64">
        <v>24.102</v>
      </c>
      <c r="E279" s="65" t="s">
        <v>52</v>
      </c>
      <c r="F279" s="277">
        <f t="shared" si="97"/>
        <v>94800</v>
      </c>
      <c r="G279" s="67">
        <f t="shared" si="96"/>
        <v>2284869.6</v>
      </c>
      <c r="H279" s="535"/>
      <c r="I279" s="277">
        <v>143138.97321428571</v>
      </c>
      <c r="J279" s="560">
        <f t="shared" si="100"/>
        <v>3449935.5324107143</v>
      </c>
      <c r="K279" s="576">
        <f t="shared" si="98"/>
        <v>66.229341926380869</v>
      </c>
      <c r="L279" s="528"/>
      <c r="M279" s="528"/>
    </row>
    <row r="280" spans="1:13" s="42" customFormat="1" ht="20.100000000000001" customHeight="1">
      <c r="A280" s="66">
        <f t="shared" si="102"/>
        <v>62</v>
      </c>
      <c r="B280" s="278" t="s">
        <v>402</v>
      </c>
      <c r="C280" s="184"/>
      <c r="D280" s="367">
        <v>2.6779999999999999</v>
      </c>
      <c r="E280" s="65" t="s">
        <v>52</v>
      </c>
      <c r="F280" s="277">
        <f>F266</f>
        <v>94800</v>
      </c>
      <c r="G280" s="67">
        <f t="shared" ref="G280" si="103">D280*F280</f>
        <v>253874.4</v>
      </c>
      <c r="H280" s="535"/>
      <c r="I280" s="277">
        <v>143138.97321428571</v>
      </c>
      <c r="J280" s="560">
        <f t="shared" si="100"/>
        <v>383326.17026785715</v>
      </c>
      <c r="K280" s="576">
        <f t="shared" si="98"/>
        <v>66.229341926380869</v>
      </c>
      <c r="L280" s="528"/>
      <c r="M280" s="528"/>
    </row>
    <row r="281" spans="1:13" s="42" customFormat="1" ht="20.100000000000001" customHeight="1">
      <c r="A281" s="144"/>
      <c r="B281" s="187" t="s">
        <v>187</v>
      </c>
      <c r="C281" s="184"/>
      <c r="D281" s="64"/>
      <c r="E281" s="65"/>
      <c r="F281" s="68"/>
      <c r="G281" s="67"/>
      <c r="H281" s="535"/>
      <c r="I281" s="548"/>
      <c r="J281" s="560">
        <f t="shared" si="100"/>
        <v>0</v>
      </c>
      <c r="K281" s="560"/>
      <c r="L281" s="528"/>
      <c r="M281" s="528"/>
    </row>
    <row r="282" spans="1:13" s="42" customFormat="1" ht="20.100000000000001" customHeight="1">
      <c r="A282" s="66">
        <f>A280+1</f>
        <v>63</v>
      </c>
      <c r="B282" s="278" t="s">
        <v>235</v>
      </c>
      <c r="C282" s="184"/>
      <c r="D282" s="64">
        <v>211.54</v>
      </c>
      <c r="E282" s="65" t="s">
        <v>40</v>
      </c>
      <c r="F282" s="277">
        <f>F262</f>
        <v>10000</v>
      </c>
      <c r="G282" s="67">
        <f t="shared" ref="G282:G285" si="104">D282*F282</f>
        <v>2115400</v>
      </c>
      <c r="H282" s="535"/>
      <c r="I282" s="277">
        <v>10839.583333333334</v>
      </c>
      <c r="J282" s="560">
        <f t="shared" si="100"/>
        <v>2293005.4583333335</v>
      </c>
      <c r="K282" s="560">
        <f t="shared" si="98"/>
        <v>92.254468575821633</v>
      </c>
      <c r="L282" s="528"/>
      <c r="M282" s="528"/>
    </row>
    <row r="283" spans="1:13" s="42" customFormat="1" ht="20.100000000000001" customHeight="1">
      <c r="A283" s="66">
        <f t="shared" ref="A283:A286" si="105">A282+1</f>
        <v>64</v>
      </c>
      <c r="B283" s="278" t="s">
        <v>234</v>
      </c>
      <c r="C283" s="184"/>
      <c r="D283" s="64">
        <v>21.154</v>
      </c>
      <c r="E283" s="65" t="s">
        <v>38</v>
      </c>
      <c r="F283" s="277">
        <f t="shared" ref="F283:F286" si="106">F263</f>
        <v>250000</v>
      </c>
      <c r="G283" s="67">
        <f t="shared" si="104"/>
        <v>5288500</v>
      </c>
      <c r="H283" s="535"/>
      <c r="I283" s="277">
        <v>250318.75000000003</v>
      </c>
      <c r="J283" s="560">
        <f t="shared" si="100"/>
        <v>5295242.8375000004</v>
      </c>
      <c r="K283" s="560">
        <f t="shared" si="98"/>
        <v>99.872662355496729</v>
      </c>
      <c r="L283" s="528"/>
      <c r="M283" s="528"/>
    </row>
    <row r="284" spans="1:13" s="42" customFormat="1" ht="20.100000000000001" customHeight="1">
      <c r="A284" s="66">
        <f t="shared" si="105"/>
        <v>65</v>
      </c>
      <c r="B284" s="278" t="s">
        <v>133</v>
      </c>
      <c r="C284" s="184"/>
      <c r="D284" s="64">
        <v>211.54</v>
      </c>
      <c r="E284" s="65" t="s">
        <v>56</v>
      </c>
      <c r="F284" s="277">
        <f t="shared" si="106"/>
        <v>161000</v>
      </c>
      <c r="G284" s="67">
        <f t="shared" si="104"/>
        <v>34057940</v>
      </c>
      <c r="H284" s="535"/>
      <c r="I284" s="277">
        <v>166919.5</v>
      </c>
      <c r="J284" s="560">
        <f t="shared" si="100"/>
        <v>35310151.030000001</v>
      </c>
      <c r="K284" s="560">
        <f t="shared" si="98"/>
        <v>96.453679767792252</v>
      </c>
      <c r="L284" s="528"/>
      <c r="M284" s="528"/>
    </row>
    <row r="285" spans="1:13" s="42" customFormat="1" ht="20.100000000000001" customHeight="1">
      <c r="A285" s="66">
        <f t="shared" si="105"/>
        <v>66</v>
      </c>
      <c r="B285" s="278" t="s">
        <v>401</v>
      </c>
      <c r="C285" s="184"/>
      <c r="D285" s="64">
        <v>147.726</v>
      </c>
      <c r="E285" s="65" t="s">
        <v>52</v>
      </c>
      <c r="F285" s="277">
        <f t="shared" si="106"/>
        <v>94800</v>
      </c>
      <c r="G285" s="67">
        <f t="shared" si="104"/>
        <v>14004424.800000001</v>
      </c>
      <c r="H285" s="535"/>
      <c r="I285" s="277">
        <v>143138.97321428571</v>
      </c>
      <c r="J285" s="560">
        <f t="shared" si="100"/>
        <v>21145347.957053572</v>
      </c>
      <c r="K285" s="576">
        <f t="shared" si="98"/>
        <v>66.229341926380869</v>
      </c>
      <c r="L285" s="528"/>
      <c r="M285" s="528"/>
    </row>
    <row r="286" spans="1:13" s="42" customFormat="1" ht="20.100000000000001" customHeight="1">
      <c r="A286" s="66">
        <f t="shared" si="105"/>
        <v>67</v>
      </c>
      <c r="B286" s="278" t="s">
        <v>402</v>
      </c>
      <c r="C286" s="184"/>
      <c r="D286" s="367">
        <v>16.413999999999998</v>
      </c>
      <c r="E286" s="65" t="s">
        <v>52</v>
      </c>
      <c r="F286" s="277">
        <f t="shared" si="106"/>
        <v>94800</v>
      </c>
      <c r="G286" s="67">
        <f t="shared" ref="G286" si="107">D286*F286</f>
        <v>1556047.1999999997</v>
      </c>
      <c r="H286" s="535"/>
      <c r="I286" s="277">
        <v>143138.97321428571</v>
      </c>
      <c r="J286" s="560">
        <f t="shared" si="100"/>
        <v>2349483.1063392852</v>
      </c>
      <c r="K286" s="576">
        <f t="shared" si="98"/>
        <v>66.229341926380869</v>
      </c>
      <c r="L286" s="528"/>
      <c r="M286" s="528"/>
    </row>
    <row r="287" spans="1:13" s="42" customFormat="1" ht="20.100000000000001" customHeight="1">
      <c r="A287" s="144"/>
      <c r="B287" s="183" t="s">
        <v>188</v>
      </c>
      <c r="C287" s="184"/>
      <c r="D287" s="64"/>
      <c r="E287" s="65"/>
      <c r="F287" s="68"/>
      <c r="G287" s="67"/>
      <c r="H287" s="535"/>
      <c r="I287" s="548"/>
      <c r="J287" s="560">
        <f t="shared" si="100"/>
        <v>0</v>
      </c>
      <c r="K287" s="560"/>
      <c r="L287" s="528"/>
      <c r="M287" s="528"/>
    </row>
    <row r="288" spans="1:13" s="42" customFormat="1" ht="20.100000000000001" customHeight="1">
      <c r="A288" s="144"/>
      <c r="B288" s="187" t="s">
        <v>183</v>
      </c>
      <c r="C288" s="184"/>
      <c r="D288" s="64"/>
      <c r="E288" s="65"/>
      <c r="F288" s="68"/>
      <c r="G288" s="67"/>
      <c r="H288" s="535"/>
      <c r="I288" s="548"/>
      <c r="J288" s="560">
        <f t="shared" si="100"/>
        <v>0</v>
      </c>
      <c r="K288" s="560"/>
      <c r="L288" s="528"/>
      <c r="M288" s="528"/>
    </row>
    <row r="289" spans="1:13" s="42" customFormat="1" ht="20.100000000000001" customHeight="1">
      <c r="A289" s="66">
        <f>A286+1</f>
        <v>68</v>
      </c>
      <c r="B289" s="278" t="s">
        <v>39</v>
      </c>
      <c r="C289" s="184"/>
      <c r="D289" s="64">
        <v>529.18000000000006</v>
      </c>
      <c r="E289" s="65" t="s">
        <v>40</v>
      </c>
      <c r="F289" s="277">
        <f>F282</f>
        <v>10000</v>
      </c>
      <c r="G289" s="67">
        <f t="shared" ref="G289:G292" si="108">D289*F289</f>
        <v>5291800.0000000009</v>
      </c>
      <c r="H289" s="535"/>
      <c r="I289" s="277">
        <v>10839.583333333334</v>
      </c>
      <c r="J289" s="560">
        <f t="shared" si="100"/>
        <v>5736090.708333334</v>
      </c>
      <c r="K289" s="560">
        <f t="shared" si="98"/>
        <v>92.254468575821633</v>
      </c>
      <c r="L289" s="528"/>
      <c r="M289" s="528"/>
    </row>
    <row r="290" spans="1:13" s="42" customFormat="1" ht="20.100000000000001" customHeight="1">
      <c r="A290" s="66">
        <f t="shared" ref="A290:A299" si="109">A289+1</f>
        <v>69</v>
      </c>
      <c r="B290" s="278" t="s">
        <v>234</v>
      </c>
      <c r="C290" s="184"/>
      <c r="D290" s="64">
        <v>47.626200000000011</v>
      </c>
      <c r="E290" s="65" t="s">
        <v>38</v>
      </c>
      <c r="F290" s="277">
        <f t="shared" ref="F290:F293" si="110">F283</f>
        <v>250000</v>
      </c>
      <c r="G290" s="67">
        <f t="shared" si="108"/>
        <v>11906550.000000004</v>
      </c>
      <c r="H290" s="535"/>
      <c r="I290" s="277">
        <v>250318.75000000003</v>
      </c>
      <c r="J290" s="560">
        <f t="shared" si="100"/>
        <v>11921730.851250004</v>
      </c>
      <c r="K290" s="560">
        <f t="shared" si="98"/>
        <v>99.872662355496729</v>
      </c>
      <c r="L290" s="528"/>
      <c r="M290" s="528"/>
    </row>
    <row r="291" spans="1:13" s="42" customFormat="1" ht="20.100000000000001" customHeight="1">
      <c r="A291" s="66">
        <f t="shared" si="109"/>
        <v>70</v>
      </c>
      <c r="B291" s="278" t="s">
        <v>133</v>
      </c>
      <c r="C291" s="184"/>
      <c r="D291" s="64">
        <v>476.26200000000006</v>
      </c>
      <c r="E291" s="65" t="s">
        <v>56</v>
      </c>
      <c r="F291" s="277">
        <f t="shared" si="110"/>
        <v>161000</v>
      </c>
      <c r="G291" s="67">
        <f t="shared" si="108"/>
        <v>76678182.000000015</v>
      </c>
      <c r="H291" s="535"/>
      <c r="I291" s="277">
        <v>166919.5</v>
      </c>
      <c r="J291" s="560">
        <f t="shared" si="100"/>
        <v>79497414.909000009</v>
      </c>
      <c r="K291" s="560">
        <f t="shared" si="98"/>
        <v>96.453679767792252</v>
      </c>
      <c r="L291" s="528"/>
      <c r="M291" s="528"/>
    </row>
    <row r="292" spans="1:13" s="42" customFormat="1" ht="20.100000000000001" customHeight="1">
      <c r="A292" s="66">
        <f t="shared" si="109"/>
        <v>71</v>
      </c>
      <c r="B292" s="278" t="s">
        <v>401</v>
      </c>
      <c r="C292" s="184"/>
      <c r="D292" s="64">
        <v>476.26200000000006</v>
      </c>
      <c r="E292" s="65" t="s">
        <v>52</v>
      </c>
      <c r="F292" s="277">
        <f t="shared" si="110"/>
        <v>94800</v>
      </c>
      <c r="G292" s="67">
        <f t="shared" si="108"/>
        <v>45149637.600000009</v>
      </c>
      <c r="H292" s="535"/>
      <c r="I292" s="277">
        <v>143138.97321428571</v>
      </c>
      <c r="J292" s="560">
        <f t="shared" si="100"/>
        <v>68171653.660982147</v>
      </c>
      <c r="K292" s="576">
        <f t="shared" si="98"/>
        <v>66.229341926380869</v>
      </c>
      <c r="L292" s="528"/>
      <c r="M292" s="528"/>
    </row>
    <row r="293" spans="1:13" s="42" customFormat="1" ht="20.100000000000001" customHeight="1">
      <c r="A293" s="66">
        <f t="shared" si="109"/>
        <v>72</v>
      </c>
      <c r="B293" s="278" t="s">
        <v>402</v>
      </c>
      <c r="C293" s="184"/>
      <c r="D293" s="367">
        <v>52.917999999999992</v>
      </c>
      <c r="E293" s="65" t="s">
        <v>52</v>
      </c>
      <c r="F293" s="277">
        <f t="shared" si="110"/>
        <v>94800</v>
      </c>
      <c r="G293" s="67">
        <f t="shared" ref="G293" si="111">D293*F293</f>
        <v>5016626.3999999994</v>
      </c>
      <c r="H293" s="535"/>
      <c r="I293" s="277">
        <v>143138.97321428571</v>
      </c>
      <c r="J293" s="560">
        <f t="shared" si="100"/>
        <v>7574628.1845535701</v>
      </c>
      <c r="K293" s="576">
        <f t="shared" si="98"/>
        <v>66.229341926380869</v>
      </c>
      <c r="L293" s="528"/>
      <c r="M293" s="528"/>
    </row>
    <row r="294" spans="1:13" s="42" customFormat="1" ht="20.100000000000001" customHeight="1">
      <c r="A294" s="66"/>
      <c r="B294" s="293" t="s">
        <v>180</v>
      </c>
      <c r="C294" s="184"/>
      <c r="D294" s="64"/>
      <c r="E294" s="65"/>
      <c r="F294" s="277"/>
      <c r="G294" s="67"/>
      <c r="H294" s="535"/>
      <c r="I294" s="277"/>
      <c r="J294" s="560">
        <f t="shared" si="100"/>
        <v>0</v>
      </c>
      <c r="K294" s="560"/>
      <c r="L294" s="528"/>
      <c r="M294" s="528"/>
    </row>
    <row r="295" spans="1:13" s="42" customFormat="1" ht="20.100000000000001" customHeight="1">
      <c r="A295" s="66">
        <f>A293+1</f>
        <v>73</v>
      </c>
      <c r="B295" s="278" t="s">
        <v>235</v>
      </c>
      <c r="C295" s="184"/>
      <c r="D295" s="64">
        <v>193.26400000000001</v>
      </c>
      <c r="E295" s="65" t="s">
        <v>40</v>
      </c>
      <c r="F295" s="277">
        <f>F268</f>
        <v>10000</v>
      </c>
      <c r="G295" s="67">
        <f t="shared" ref="G295:G306" si="112">D295*F295</f>
        <v>1932640</v>
      </c>
      <c r="H295" s="535"/>
      <c r="I295" s="277">
        <v>10839.583333333334</v>
      </c>
      <c r="J295" s="560">
        <f t="shared" si="100"/>
        <v>2094901.2333333336</v>
      </c>
      <c r="K295" s="560">
        <f t="shared" si="98"/>
        <v>92.254468575821633</v>
      </c>
      <c r="L295" s="528"/>
      <c r="M295" s="528"/>
    </row>
    <row r="296" spans="1:13" s="42" customFormat="1" ht="20.100000000000001" customHeight="1">
      <c r="A296" s="66">
        <f t="shared" si="109"/>
        <v>74</v>
      </c>
      <c r="B296" s="272" t="s">
        <v>37</v>
      </c>
      <c r="C296" s="273"/>
      <c r="D296" s="274">
        <v>104.64600000000002</v>
      </c>
      <c r="E296" s="45" t="s">
        <v>38</v>
      </c>
      <c r="F296" s="277">
        <f t="shared" ref="F296:F307" si="113">F269</f>
        <v>90000</v>
      </c>
      <c r="G296" s="67">
        <f t="shared" si="112"/>
        <v>9418140.0000000019</v>
      </c>
      <c r="H296" s="535"/>
      <c r="I296" s="277">
        <v>68612.5</v>
      </c>
      <c r="J296" s="560">
        <f t="shared" si="100"/>
        <v>7180023.6750000007</v>
      </c>
      <c r="K296" s="560">
        <f t="shared" si="98"/>
        <v>131.17143377664419</v>
      </c>
      <c r="L296" s="528"/>
      <c r="M296" s="528"/>
    </row>
    <row r="297" spans="1:13" s="42" customFormat="1" ht="20.100000000000001" customHeight="1">
      <c r="A297" s="271">
        <f t="shared" si="109"/>
        <v>75</v>
      </c>
      <c r="B297" s="272" t="s">
        <v>10</v>
      </c>
      <c r="C297" s="273"/>
      <c r="D297" s="274">
        <v>2.2814999999999999</v>
      </c>
      <c r="E297" s="45" t="s">
        <v>38</v>
      </c>
      <c r="F297" s="277">
        <f t="shared" si="113"/>
        <v>350000</v>
      </c>
      <c r="G297" s="67">
        <f t="shared" si="112"/>
        <v>798525</v>
      </c>
      <c r="H297" s="535"/>
      <c r="I297" s="277">
        <v>257207.50000000003</v>
      </c>
      <c r="J297" s="560">
        <f t="shared" si="100"/>
        <v>586818.91125</v>
      </c>
      <c r="K297" s="560">
        <f t="shared" si="98"/>
        <v>136.07690288969022</v>
      </c>
      <c r="L297" s="528"/>
      <c r="M297" s="528"/>
    </row>
    <row r="298" spans="1:13" s="42" customFormat="1" ht="20.100000000000001" customHeight="1">
      <c r="A298" s="66">
        <f t="shared" si="109"/>
        <v>76</v>
      </c>
      <c r="B298" s="278" t="s">
        <v>234</v>
      </c>
      <c r="C298" s="184"/>
      <c r="D298" s="64">
        <v>16.541620000000002</v>
      </c>
      <c r="E298" s="65" t="s">
        <v>38</v>
      </c>
      <c r="F298" s="277">
        <f t="shared" si="113"/>
        <v>250000</v>
      </c>
      <c r="G298" s="67">
        <f t="shared" si="112"/>
        <v>4135405.0000000005</v>
      </c>
      <c r="H298" s="535"/>
      <c r="I298" s="277">
        <v>250318.75000000003</v>
      </c>
      <c r="J298" s="560">
        <f t="shared" si="100"/>
        <v>4140677.6413750011</v>
      </c>
      <c r="K298" s="560">
        <f t="shared" si="98"/>
        <v>99.872662355496729</v>
      </c>
      <c r="L298" s="528"/>
      <c r="M298" s="528"/>
    </row>
    <row r="299" spans="1:13" s="42" customFormat="1" ht="20.100000000000001" customHeight="1">
      <c r="A299" s="66">
        <f t="shared" si="109"/>
        <v>77</v>
      </c>
      <c r="B299" s="272" t="s">
        <v>50</v>
      </c>
      <c r="C299" s="273"/>
      <c r="D299" s="274">
        <v>22.053599999999999</v>
      </c>
      <c r="E299" s="45" t="s">
        <v>38</v>
      </c>
      <c r="F299" s="277">
        <f t="shared" si="113"/>
        <v>900000</v>
      </c>
      <c r="G299" s="67">
        <f t="shared" si="112"/>
        <v>19848240</v>
      </c>
      <c r="H299" s="535"/>
      <c r="I299" s="277">
        <v>1120599.7000000002</v>
      </c>
      <c r="J299" s="560">
        <f t="shared" si="100"/>
        <v>24713257.543920003</v>
      </c>
      <c r="K299" s="560">
        <f t="shared" si="98"/>
        <v>80.314138938284557</v>
      </c>
      <c r="L299" s="528"/>
      <c r="M299" s="528"/>
    </row>
    <row r="300" spans="1:13" s="42" customFormat="1" ht="20.100000000000001" customHeight="1">
      <c r="A300" s="66">
        <f t="shared" ref="A300:A301" si="114">1+A299</f>
        <v>78</v>
      </c>
      <c r="B300" s="286" t="s">
        <v>64</v>
      </c>
      <c r="C300" s="281"/>
      <c r="D300" s="64">
        <v>1.8246359999999999</v>
      </c>
      <c r="E300" s="81" t="s">
        <v>70</v>
      </c>
      <c r="F300" s="277">
        <f t="shared" si="113"/>
        <v>950000</v>
      </c>
      <c r="G300" s="67">
        <f t="shared" si="112"/>
        <v>1733404.2</v>
      </c>
      <c r="H300" s="535"/>
      <c r="I300" s="277">
        <v>1110010.5092592593</v>
      </c>
      <c r="J300" s="560">
        <f t="shared" si="100"/>
        <v>2025365.1355727778</v>
      </c>
      <c r="K300" s="560">
        <f t="shared" si="98"/>
        <v>85.584775285953029</v>
      </c>
      <c r="L300" s="528"/>
      <c r="M300" s="528"/>
    </row>
    <row r="301" spans="1:13" s="42" customFormat="1" ht="20.100000000000001" customHeight="1">
      <c r="A301" s="66">
        <f t="shared" si="114"/>
        <v>79</v>
      </c>
      <c r="B301" s="280" t="s">
        <v>167</v>
      </c>
      <c r="C301" s="281"/>
      <c r="D301" s="64">
        <v>1.2150000000000001</v>
      </c>
      <c r="E301" s="81" t="s">
        <v>70</v>
      </c>
      <c r="F301" s="277">
        <f t="shared" si="113"/>
        <v>4000000</v>
      </c>
      <c r="G301" s="67">
        <f t="shared" si="112"/>
        <v>4860000</v>
      </c>
      <c r="H301" s="535"/>
      <c r="I301" s="277">
        <v>3011394.5462962966</v>
      </c>
      <c r="J301" s="560">
        <f t="shared" si="100"/>
        <v>3658844.3737500007</v>
      </c>
      <c r="K301" s="560">
        <f t="shared" si="98"/>
        <v>132.82882526700413</v>
      </c>
      <c r="L301" s="528"/>
      <c r="M301" s="528"/>
    </row>
    <row r="302" spans="1:13" s="42" customFormat="1" ht="20.100000000000001" customHeight="1">
      <c r="A302" s="66">
        <f t="shared" ref="A302:A305" si="115">1+A301</f>
        <v>80</v>
      </c>
      <c r="B302" s="280" t="s">
        <v>137</v>
      </c>
      <c r="C302" s="281"/>
      <c r="D302" s="64">
        <v>6.2831679999999999</v>
      </c>
      <c r="E302" s="81" t="s">
        <v>70</v>
      </c>
      <c r="F302" s="277">
        <f t="shared" si="113"/>
        <v>3500000</v>
      </c>
      <c r="G302" s="67">
        <f t="shared" si="112"/>
        <v>21991088</v>
      </c>
      <c r="H302" s="535"/>
      <c r="I302" s="277">
        <v>2448894.5462962966</v>
      </c>
      <c r="J302" s="560">
        <f t="shared" si="100"/>
        <v>15386815.84866341</v>
      </c>
      <c r="K302" s="560">
        <f t="shared" si="98"/>
        <v>142.92162989596238</v>
      </c>
      <c r="L302" s="528"/>
      <c r="M302" s="528"/>
    </row>
    <row r="303" spans="1:13" s="42" customFormat="1" ht="20.100000000000001" customHeight="1">
      <c r="A303" s="66">
        <f t="shared" si="115"/>
        <v>81</v>
      </c>
      <c r="B303" s="272" t="s">
        <v>182</v>
      </c>
      <c r="C303" s="273"/>
      <c r="D303" s="274">
        <v>79.795599999999993</v>
      </c>
      <c r="E303" s="45" t="s">
        <v>40</v>
      </c>
      <c r="F303" s="277">
        <f t="shared" si="113"/>
        <v>40000</v>
      </c>
      <c r="G303" s="67">
        <f t="shared" si="112"/>
        <v>3191823.9999999995</v>
      </c>
      <c r="H303" s="535"/>
      <c r="I303" s="277">
        <v>45665.675000000003</v>
      </c>
      <c r="J303" s="560">
        <f t="shared" si="100"/>
        <v>3643919.93603</v>
      </c>
      <c r="K303" s="560">
        <f t="shared" si="98"/>
        <v>87.5931429897839</v>
      </c>
      <c r="L303" s="528"/>
      <c r="M303" s="528"/>
    </row>
    <row r="304" spans="1:13" s="42" customFormat="1" ht="20.100000000000001" customHeight="1">
      <c r="A304" s="66">
        <f t="shared" si="115"/>
        <v>82</v>
      </c>
      <c r="B304" s="272" t="s">
        <v>103</v>
      </c>
      <c r="C304" s="273"/>
      <c r="D304" s="274">
        <v>32.4</v>
      </c>
      <c r="E304" s="45" t="s">
        <v>40</v>
      </c>
      <c r="F304" s="277">
        <f t="shared" si="113"/>
        <v>40000</v>
      </c>
      <c r="G304" s="67">
        <f t="shared" si="112"/>
        <v>1296000</v>
      </c>
      <c r="H304" s="535"/>
      <c r="I304" s="277">
        <v>45665.675000000003</v>
      </c>
      <c r="J304" s="560">
        <f t="shared" si="100"/>
        <v>1479567.87</v>
      </c>
      <c r="K304" s="560">
        <f t="shared" si="98"/>
        <v>87.5931429897839</v>
      </c>
      <c r="L304" s="528"/>
      <c r="M304" s="528"/>
    </row>
    <row r="305" spans="1:13" s="42" customFormat="1" ht="20.100000000000001" customHeight="1">
      <c r="A305" s="66">
        <f t="shared" si="115"/>
        <v>83</v>
      </c>
      <c r="B305" s="278" t="s">
        <v>133</v>
      </c>
      <c r="C305" s="184"/>
      <c r="D305" s="64">
        <v>104.59450000000001</v>
      </c>
      <c r="E305" s="65" t="s">
        <v>56</v>
      </c>
      <c r="F305" s="277">
        <f t="shared" si="113"/>
        <v>161000</v>
      </c>
      <c r="G305" s="67">
        <f t="shared" si="112"/>
        <v>16839714.5</v>
      </c>
      <c r="H305" s="535"/>
      <c r="I305" s="277">
        <v>166919.5</v>
      </c>
      <c r="J305" s="560">
        <f t="shared" si="100"/>
        <v>17458861.642750002</v>
      </c>
      <c r="K305" s="560">
        <f t="shared" si="98"/>
        <v>96.453679767792252</v>
      </c>
      <c r="L305" s="528"/>
      <c r="M305" s="528"/>
    </row>
    <row r="306" spans="1:13" s="42" customFormat="1" ht="20.100000000000001" customHeight="1">
      <c r="A306" s="66">
        <f t="shared" ref="A306:A307" si="116">A305+1</f>
        <v>84</v>
      </c>
      <c r="B306" s="278" t="s">
        <v>401</v>
      </c>
      <c r="C306" s="184"/>
      <c r="D306" s="64">
        <v>62.352000000000004</v>
      </c>
      <c r="E306" s="65" t="s">
        <v>52</v>
      </c>
      <c r="F306" s="277">
        <f t="shared" si="113"/>
        <v>94800</v>
      </c>
      <c r="G306" s="67">
        <f t="shared" si="112"/>
        <v>5910969.6000000006</v>
      </c>
      <c r="H306" s="535"/>
      <c r="I306" s="277">
        <v>143138.97321428571</v>
      </c>
      <c r="J306" s="560">
        <f t="shared" si="100"/>
        <v>8925001.2578571439</v>
      </c>
      <c r="K306" s="576">
        <f t="shared" si="98"/>
        <v>66.229341926380869</v>
      </c>
      <c r="L306" s="528"/>
      <c r="M306" s="528"/>
    </row>
    <row r="307" spans="1:13" s="42" customFormat="1" ht="20.100000000000001" customHeight="1">
      <c r="A307" s="66">
        <f t="shared" si="116"/>
        <v>85</v>
      </c>
      <c r="B307" s="278" t="s">
        <v>402</v>
      </c>
      <c r="C307" s="184"/>
      <c r="D307" s="367">
        <v>6.9279999999999999</v>
      </c>
      <c r="E307" s="65" t="s">
        <v>52</v>
      </c>
      <c r="F307" s="277">
        <f t="shared" si="113"/>
        <v>94800</v>
      </c>
      <c r="G307" s="67">
        <f t="shared" ref="G307" si="117">D307*F307</f>
        <v>656774.40000000002</v>
      </c>
      <c r="H307" s="535"/>
      <c r="I307" s="277">
        <v>143138.97321428571</v>
      </c>
      <c r="J307" s="560">
        <f t="shared" si="100"/>
        <v>991666.80642857135</v>
      </c>
      <c r="K307" s="576">
        <f t="shared" si="98"/>
        <v>66.229341926380869</v>
      </c>
      <c r="L307" s="528"/>
      <c r="M307" s="528"/>
    </row>
    <row r="308" spans="1:13" s="42" customFormat="1" ht="20.100000000000001" customHeight="1">
      <c r="A308" s="66"/>
      <c r="B308" s="184"/>
      <c r="C308" s="184"/>
      <c r="D308" s="64"/>
      <c r="E308" s="65"/>
      <c r="F308" s="68"/>
      <c r="G308" s="88"/>
      <c r="H308" s="535"/>
      <c r="I308" s="548"/>
      <c r="J308" s="567"/>
      <c r="K308" s="560"/>
      <c r="L308" s="528"/>
      <c r="M308" s="528"/>
    </row>
    <row r="309" spans="1:13" s="42" customFormat="1" ht="20.100000000000001" customHeight="1">
      <c r="A309" s="76" t="s">
        <v>72</v>
      </c>
      <c r="B309" s="181" t="s">
        <v>405</v>
      </c>
      <c r="C309" s="182"/>
      <c r="D309" s="77"/>
      <c r="E309" s="78"/>
      <c r="F309" s="79"/>
      <c r="G309" s="80">
        <f>SUM(G311:G334)</f>
        <v>168677383.33333331</v>
      </c>
      <c r="H309" s="535"/>
      <c r="I309" s="544"/>
      <c r="J309" s="568"/>
      <c r="K309" s="560"/>
      <c r="L309" s="528"/>
      <c r="M309" s="528"/>
    </row>
    <row r="310" spans="1:13" s="42" customFormat="1" ht="20.100000000000001" customHeight="1">
      <c r="A310" s="66"/>
      <c r="B310" s="191" t="s">
        <v>96</v>
      </c>
      <c r="C310" s="184"/>
      <c r="D310" s="64"/>
      <c r="E310" s="65"/>
      <c r="F310" s="82"/>
      <c r="G310" s="67"/>
      <c r="H310" s="535"/>
      <c r="I310" s="545"/>
      <c r="J310" s="567"/>
      <c r="K310" s="560"/>
      <c r="L310" s="528"/>
      <c r="M310" s="528"/>
    </row>
    <row r="311" spans="1:13" s="42" customFormat="1" ht="20.100000000000001" customHeight="1">
      <c r="A311" s="284">
        <v>1</v>
      </c>
      <c r="B311" s="280" t="s">
        <v>37</v>
      </c>
      <c r="C311" s="288"/>
      <c r="D311" s="74">
        <v>7.6404999999999994</v>
      </c>
      <c r="E311" s="289" t="s">
        <v>61</v>
      </c>
      <c r="F311" s="290">
        <f>F296</f>
        <v>90000</v>
      </c>
      <c r="G311" s="67">
        <f t="shared" ref="G311:G320" si="118">D311*F311</f>
        <v>687645</v>
      </c>
      <c r="H311" s="535"/>
      <c r="I311" s="546">
        <v>68612.5</v>
      </c>
      <c r="J311" s="560">
        <f t="shared" ref="J311:J374" si="119">D311*I311</f>
        <v>524233.80624999997</v>
      </c>
      <c r="K311" s="560">
        <f t="shared" si="98"/>
        <v>131.17143377664419</v>
      </c>
      <c r="L311" s="528"/>
      <c r="M311" s="528"/>
    </row>
    <row r="312" spans="1:13" s="42" customFormat="1" ht="20.100000000000001" customHeight="1">
      <c r="A312" s="284">
        <f t="shared" ref="A312:A320" si="120">A311+1</f>
        <v>2</v>
      </c>
      <c r="B312" s="286" t="s">
        <v>62</v>
      </c>
      <c r="C312" s="281"/>
      <c r="D312" s="74">
        <v>5.7565</v>
      </c>
      <c r="E312" s="289" t="s">
        <v>61</v>
      </c>
      <c r="F312" s="290">
        <f>F297</f>
        <v>350000</v>
      </c>
      <c r="G312" s="67">
        <f t="shared" si="118"/>
        <v>2014775</v>
      </c>
      <c r="H312" s="535"/>
      <c r="I312" s="546">
        <v>257207.50000000003</v>
      </c>
      <c r="J312" s="560">
        <f t="shared" si="119"/>
        <v>1480614.9737500001</v>
      </c>
      <c r="K312" s="560">
        <f t="shared" si="98"/>
        <v>136.07690288969022</v>
      </c>
      <c r="L312" s="528"/>
      <c r="M312" s="528"/>
    </row>
    <row r="313" spans="1:13" s="42" customFormat="1" ht="20.100000000000001" customHeight="1">
      <c r="A313" s="284">
        <f t="shared" si="120"/>
        <v>3</v>
      </c>
      <c r="B313" s="286" t="s">
        <v>71</v>
      </c>
      <c r="C313" s="281"/>
      <c r="D313" s="282">
        <v>6.4890000000000008</v>
      </c>
      <c r="E313" s="81" t="s">
        <v>70</v>
      </c>
      <c r="F313" s="283">
        <f>F299</f>
        <v>900000</v>
      </c>
      <c r="G313" s="67">
        <f t="shared" si="118"/>
        <v>5840100.0000000009</v>
      </c>
      <c r="H313" s="535"/>
      <c r="I313" s="541">
        <v>1120599.7000000002</v>
      </c>
      <c r="J313" s="560">
        <f t="shared" si="119"/>
        <v>7271571.453300002</v>
      </c>
      <c r="K313" s="560">
        <f t="shared" si="98"/>
        <v>80.314138938284557</v>
      </c>
      <c r="L313" s="528"/>
      <c r="M313" s="528"/>
    </row>
    <row r="314" spans="1:13" s="42" customFormat="1" ht="20.100000000000001" customHeight="1">
      <c r="A314" s="284">
        <f t="shared" si="120"/>
        <v>4</v>
      </c>
      <c r="B314" s="286" t="s">
        <v>64</v>
      </c>
      <c r="C314" s="281"/>
      <c r="D314" s="74">
        <v>2.8049999999999997</v>
      </c>
      <c r="E314" s="81" t="s">
        <v>70</v>
      </c>
      <c r="F314" s="283">
        <f>F300</f>
        <v>950000</v>
      </c>
      <c r="G314" s="67">
        <f t="shared" si="118"/>
        <v>2664749.9999999995</v>
      </c>
      <c r="H314" s="535"/>
      <c r="I314" s="541">
        <v>1110010.5092592593</v>
      </c>
      <c r="J314" s="560">
        <f t="shared" si="119"/>
        <v>3113579.4784722221</v>
      </c>
      <c r="K314" s="560">
        <f t="shared" si="98"/>
        <v>85.584775285953029</v>
      </c>
      <c r="L314" s="528"/>
      <c r="M314" s="528"/>
    </row>
    <row r="315" spans="1:13" s="42" customFormat="1" ht="20.100000000000001" customHeight="1">
      <c r="A315" s="284">
        <f t="shared" si="120"/>
        <v>5</v>
      </c>
      <c r="B315" s="280" t="s">
        <v>73</v>
      </c>
      <c r="C315" s="281"/>
      <c r="D315" s="282">
        <v>9.2679999999999989</v>
      </c>
      <c r="E315" s="81" t="s">
        <v>70</v>
      </c>
      <c r="F315" s="283">
        <f>F302</f>
        <v>3500000</v>
      </c>
      <c r="G315" s="67">
        <f t="shared" si="118"/>
        <v>32437999.999999996</v>
      </c>
      <c r="H315" s="535"/>
      <c r="I315" s="541">
        <v>2448894.5462962966</v>
      </c>
      <c r="J315" s="560">
        <f t="shared" si="119"/>
        <v>22696354.655074075</v>
      </c>
      <c r="K315" s="560">
        <f t="shared" si="98"/>
        <v>142.92162989596238</v>
      </c>
      <c r="L315" s="528"/>
      <c r="M315" s="528"/>
    </row>
    <row r="316" spans="1:13" s="42" customFormat="1" ht="20.100000000000001" customHeight="1">
      <c r="A316" s="284">
        <f t="shared" si="120"/>
        <v>6</v>
      </c>
      <c r="B316" s="286" t="s">
        <v>114</v>
      </c>
      <c r="C316" s="281"/>
      <c r="D316" s="282">
        <v>115.85000000000001</v>
      </c>
      <c r="E316" s="81" t="s">
        <v>40</v>
      </c>
      <c r="F316" s="283">
        <f>F304</f>
        <v>40000</v>
      </c>
      <c r="G316" s="67">
        <f t="shared" si="118"/>
        <v>4634000</v>
      </c>
      <c r="H316" s="535"/>
      <c r="I316" s="541">
        <v>45665.675000000003</v>
      </c>
      <c r="J316" s="560">
        <f t="shared" si="119"/>
        <v>5290368.4487500004</v>
      </c>
      <c r="K316" s="560">
        <f t="shared" si="98"/>
        <v>87.5931429897839</v>
      </c>
      <c r="L316" s="528"/>
      <c r="M316" s="528"/>
    </row>
    <row r="317" spans="1:13" s="42" customFormat="1" ht="20.100000000000001" customHeight="1">
      <c r="A317" s="284">
        <f t="shared" si="120"/>
        <v>7</v>
      </c>
      <c r="B317" s="286" t="s">
        <v>74</v>
      </c>
      <c r="C317" s="281"/>
      <c r="D317" s="282">
        <v>98.9</v>
      </c>
      <c r="E317" s="81" t="s">
        <v>52</v>
      </c>
      <c r="F317" s="283">
        <v>50000</v>
      </c>
      <c r="G317" s="67">
        <f t="shared" si="118"/>
        <v>4945000</v>
      </c>
      <c r="H317" s="535"/>
      <c r="I317" s="541">
        <v>35000</v>
      </c>
      <c r="J317" s="560">
        <f t="shared" si="119"/>
        <v>3461500</v>
      </c>
      <c r="K317" s="560">
        <f t="shared" si="98"/>
        <v>142.85714285714286</v>
      </c>
      <c r="L317" s="528"/>
      <c r="M317" s="528"/>
    </row>
    <row r="318" spans="1:13" s="42" customFormat="1" ht="20.100000000000001" customHeight="1">
      <c r="A318" s="284">
        <f t="shared" si="120"/>
        <v>8</v>
      </c>
      <c r="B318" s="286" t="s">
        <v>75</v>
      </c>
      <c r="C318" s="281"/>
      <c r="D318" s="282">
        <v>8.532</v>
      </c>
      <c r="E318" s="81" t="s">
        <v>40</v>
      </c>
      <c r="F318" s="287">
        <f>F316</f>
        <v>40000</v>
      </c>
      <c r="G318" s="67">
        <f t="shared" si="118"/>
        <v>341280</v>
      </c>
      <c r="H318" s="535"/>
      <c r="I318" s="542">
        <v>45665.675000000003</v>
      </c>
      <c r="J318" s="560">
        <f t="shared" si="119"/>
        <v>389619.53910000005</v>
      </c>
      <c r="K318" s="560">
        <f t="shared" si="98"/>
        <v>87.5931429897839</v>
      </c>
      <c r="L318" s="528"/>
      <c r="M318" s="528"/>
    </row>
    <row r="319" spans="1:13" s="42" customFormat="1" ht="20.100000000000001" customHeight="1">
      <c r="A319" s="284">
        <f t="shared" si="120"/>
        <v>9</v>
      </c>
      <c r="B319" s="278" t="s">
        <v>226</v>
      </c>
      <c r="C319" s="184"/>
      <c r="D319" s="64">
        <v>15</v>
      </c>
      <c r="E319" s="65" t="s">
        <v>4</v>
      </c>
      <c r="F319" s="538">
        <v>1200000</v>
      </c>
      <c r="G319" s="67">
        <f t="shared" si="118"/>
        <v>18000000</v>
      </c>
      <c r="H319" s="535"/>
      <c r="I319" s="279">
        <v>1950000</v>
      </c>
      <c r="J319" s="560">
        <f t="shared" si="119"/>
        <v>29250000</v>
      </c>
      <c r="K319" s="576">
        <f t="shared" si="98"/>
        <v>61.53846153846154</v>
      </c>
      <c r="L319" s="528"/>
      <c r="M319" s="528"/>
    </row>
    <row r="320" spans="1:13" s="42" customFormat="1" ht="20.100000000000001" customHeight="1">
      <c r="A320" s="284">
        <f t="shared" si="120"/>
        <v>10</v>
      </c>
      <c r="B320" s="278" t="s">
        <v>227</v>
      </c>
      <c r="C320" s="184"/>
      <c r="D320" s="64">
        <v>15</v>
      </c>
      <c r="E320" s="65" t="s">
        <v>4</v>
      </c>
      <c r="F320" s="538">
        <v>1200000</v>
      </c>
      <c r="G320" s="67">
        <f t="shared" si="118"/>
        <v>18000000</v>
      </c>
      <c r="H320" s="535"/>
      <c r="I320" s="279">
        <v>1450000</v>
      </c>
      <c r="J320" s="560">
        <f t="shared" si="119"/>
        <v>21750000</v>
      </c>
      <c r="K320" s="560">
        <f t="shared" si="98"/>
        <v>82.758620689655174</v>
      </c>
      <c r="L320" s="528"/>
      <c r="M320" s="528"/>
    </row>
    <row r="321" spans="1:13" s="42" customFormat="1" ht="20.100000000000001" customHeight="1">
      <c r="A321" s="66"/>
      <c r="B321" s="375" t="s">
        <v>76</v>
      </c>
      <c r="C321" s="184"/>
      <c r="D321" s="64"/>
      <c r="E321" s="65"/>
      <c r="F321" s="68"/>
      <c r="G321" s="67"/>
      <c r="H321" s="535"/>
      <c r="I321" s="548"/>
      <c r="J321" s="560">
        <f t="shared" si="119"/>
        <v>0</v>
      </c>
      <c r="K321" s="560"/>
      <c r="L321" s="528"/>
      <c r="M321" s="528"/>
    </row>
    <row r="322" spans="1:13" s="42" customFormat="1" ht="20.100000000000001" customHeight="1">
      <c r="A322" s="284">
        <v>1</v>
      </c>
      <c r="B322" s="280" t="s">
        <v>37</v>
      </c>
      <c r="C322" s="288"/>
      <c r="D322" s="74">
        <v>5.2499999999999991</v>
      </c>
      <c r="E322" s="289" t="s">
        <v>61</v>
      </c>
      <c r="F322" s="290">
        <f>F311</f>
        <v>90000</v>
      </c>
      <c r="G322" s="292">
        <f t="shared" ref="G322:G334" si="121">D322*F322</f>
        <v>472499.99999999994</v>
      </c>
      <c r="H322" s="535"/>
      <c r="I322" s="546">
        <v>68612.5</v>
      </c>
      <c r="J322" s="560">
        <f t="shared" si="119"/>
        <v>360215.62499999994</v>
      </c>
      <c r="K322" s="560">
        <f t="shared" si="98"/>
        <v>131.17143377664419</v>
      </c>
      <c r="L322" s="528"/>
      <c r="M322" s="528"/>
    </row>
    <row r="323" spans="1:13" s="42" customFormat="1" ht="20.100000000000001" customHeight="1">
      <c r="A323" s="284">
        <f t="shared" ref="A323:A334" si="122">A322+1</f>
        <v>2</v>
      </c>
      <c r="B323" s="280" t="s">
        <v>77</v>
      </c>
      <c r="C323" s="288"/>
      <c r="D323" s="74">
        <v>3.339999999999999</v>
      </c>
      <c r="E323" s="289" t="s">
        <v>61</v>
      </c>
      <c r="F323" s="290">
        <f>F192</f>
        <v>50000</v>
      </c>
      <c r="G323" s="292">
        <f t="shared" si="121"/>
        <v>166999.99999999994</v>
      </c>
      <c r="H323" s="535"/>
      <c r="I323" s="546">
        <v>22870.833333333332</v>
      </c>
      <c r="J323" s="560">
        <f t="shared" si="119"/>
        <v>76388.583333333299</v>
      </c>
      <c r="K323" s="560">
        <f t="shared" si="98"/>
        <v>218.61905629440699</v>
      </c>
      <c r="L323" s="528"/>
      <c r="M323" s="528"/>
    </row>
    <row r="324" spans="1:13" s="42" customFormat="1" ht="20.100000000000001" customHeight="1">
      <c r="A324" s="284">
        <f t="shared" si="122"/>
        <v>3</v>
      </c>
      <c r="B324" s="286" t="s">
        <v>62</v>
      </c>
      <c r="C324" s="281"/>
      <c r="D324" s="74">
        <v>0.27</v>
      </c>
      <c r="E324" s="289" t="s">
        <v>61</v>
      </c>
      <c r="F324" s="290">
        <f>F312</f>
        <v>350000</v>
      </c>
      <c r="G324" s="292">
        <f t="shared" si="121"/>
        <v>94500</v>
      </c>
      <c r="H324" s="535"/>
      <c r="I324" s="546">
        <v>257207.50000000003</v>
      </c>
      <c r="J324" s="560">
        <f t="shared" si="119"/>
        <v>69446.025000000009</v>
      </c>
      <c r="K324" s="560">
        <f t="shared" si="98"/>
        <v>136.07690288969022</v>
      </c>
      <c r="L324" s="528"/>
      <c r="M324" s="528"/>
    </row>
    <row r="325" spans="1:13" s="42" customFormat="1" ht="20.100000000000001" customHeight="1">
      <c r="A325" s="284">
        <f t="shared" si="122"/>
        <v>4</v>
      </c>
      <c r="B325" s="286" t="s">
        <v>64</v>
      </c>
      <c r="C325" s="281"/>
      <c r="D325" s="74">
        <v>0.27</v>
      </c>
      <c r="E325" s="289" t="s">
        <v>65</v>
      </c>
      <c r="F325" s="290">
        <f>F314</f>
        <v>950000</v>
      </c>
      <c r="G325" s="292">
        <f t="shared" si="121"/>
        <v>256500.00000000003</v>
      </c>
      <c r="H325" s="535"/>
      <c r="I325" s="546">
        <v>1110010.5092592593</v>
      </c>
      <c r="J325" s="560">
        <f t="shared" si="119"/>
        <v>299702.83750000002</v>
      </c>
      <c r="K325" s="560">
        <f t="shared" si="98"/>
        <v>85.584775285953029</v>
      </c>
      <c r="L325" s="528"/>
      <c r="M325" s="528"/>
    </row>
    <row r="326" spans="1:13" s="42" customFormat="1" ht="20.100000000000001" customHeight="1">
      <c r="A326" s="284">
        <f t="shared" si="122"/>
        <v>5</v>
      </c>
      <c r="B326" s="280" t="s">
        <v>224</v>
      </c>
      <c r="C326" s="281"/>
      <c r="D326" s="228">
        <v>1.9100000000000001</v>
      </c>
      <c r="E326" s="289" t="s">
        <v>65</v>
      </c>
      <c r="F326" s="283">
        <v>5000000</v>
      </c>
      <c r="G326" s="292">
        <f t="shared" si="121"/>
        <v>9550000</v>
      </c>
      <c r="H326" s="535"/>
      <c r="I326" s="541">
        <v>4320553.805555556</v>
      </c>
      <c r="J326" s="560">
        <f t="shared" si="119"/>
        <v>8252257.7686111126</v>
      </c>
      <c r="K326" s="560">
        <f t="shared" si="98"/>
        <v>115.72590517379469</v>
      </c>
      <c r="L326" s="528"/>
      <c r="M326" s="528"/>
    </row>
    <row r="327" spans="1:13" s="42" customFormat="1" ht="20.100000000000001" customHeight="1">
      <c r="A327" s="284">
        <f t="shared" si="122"/>
        <v>6</v>
      </c>
      <c r="B327" s="280" t="s">
        <v>225</v>
      </c>
      <c r="C327" s="281"/>
      <c r="D327" s="228">
        <v>0.43500000000000005</v>
      </c>
      <c r="E327" s="289" t="s">
        <v>65</v>
      </c>
      <c r="F327" s="283">
        <f>F326</f>
        <v>5000000</v>
      </c>
      <c r="G327" s="292">
        <f t="shared" si="121"/>
        <v>2175000.0000000005</v>
      </c>
      <c r="H327" s="535"/>
      <c r="I327" s="541">
        <v>4320553.805555556</v>
      </c>
      <c r="J327" s="560">
        <f t="shared" si="119"/>
        <v>1879440.905416667</v>
      </c>
      <c r="K327" s="560">
        <f t="shared" si="98"/>
        <v>115.72590517379469</v>
      </c>
      <c r="L327" s="528"/>
      <c r="M327" s="528"/>
    </row>
    <row r="328" spans="1:13" s="42" customFormat="1" ht="20.100000000000001" customHeight="1">
      <c r="A328" s="284">
        <f t="shared" si="122"/>
        <v>7</v>
      </c>
      <c r="B328" s="280" t="s">
        <v>228</v>
      </c>
      <c r="C328" s="281"/>
      <c r="D328" s="228">
        <v>8.4</v>
      </c>
      <c r="E328" s="289" t="s">
        <v>78</v>
      </c>
      <c r="F328" s="283">
        <v>75000</v>
      </c>
      <c r="G328" s="292">
        <f t="shared" si="121"/>
        <v>630000</v>
      </c>
      <c r="H328" s="535"/>
      <c r="I328" s="541">
        <v>265845.91000000003</v>
      </c>
      <c r="J328" s="560">
        <f t="shared" si="119"/>
        <v>2233105.6440000003</v>
      </c>
      <c r="K328" s="576">
        <f t="shared" si="98"/>
        <v>28.211831432727326</v>
      </c>
      <c r="L328" s="528"/>
      <c r="M328" s="528"/>
    </row>
    <row r="329" spans="1:13" s="42" customFormat="1" ht="20.100000000000001" customHeight="1">
      <c r="A329" s="284">
        <f t="shared" si="122"/>
        <v>8</v>
      </c>
      <c r="B329" s="280" t="s">
        <v>79</v>
      </c>
      <c r="C329" s="281"/>
      <c r="D329" s="228">
        <v>11</v>
      </c>
      <c r="E329" s="289" t="s">
        <v>78</v>
      </c>
      <c r="F329" s="283">
        <f>F303</f>
        <v>40000</v>
      </c>
      <c r="G329" s="292">
        <f t="shared" si="121"/>
        <v>440000</v>
      </c>
      <c r="H329" s="535"/>
      <c r="I329" s="541">
        <v>45665.675000000003</v>
      </c>
      <c r="J329" s="560">
        <f t="shared" si="119"/>
        <v>502322.42500000005</v>
      </c>
      <c r="K329" s="560">
        <f t="shared" si="98"/>
        <v>87.5931429897839</v>
      </c>
      <c r="L329" s="528"/>
      <c r="M329" s="528"/>
    </row>
    <row r="330" spans="1:13" s="42" customFormat="1" ht="20.100000000000001" customHeight="1">
      <c r="A330" s="284">
        <f t="shared" si="122"/>
        <v>9</v>
      </c>
      <c r="B330" s="586" t="s">
        <v>236</v>
      </c>
      <c r="C330" s="605"/>
      <c r="D330" s="282">
        <v>22</v>
      </c>
      <c r="E330" s="289" t="s">
        <v>80</v>
      </c>
      <c r="F330" s="283">
        <f>(1300000/6)*1.4</f>
        <v>303333.33333333331</v>
      </c>
      <c r="G330" s="292">
        <f t="shared" si="121"/>
        <v>6673333.333333333</v>
      </c>
      <c r="H330" s="535"/>
      <c r="I330" s="541">
        <v>475668.67333333334</v>
      </c>
      <c r="J330" s="560">
        <f t="shared" si="119"/>
        <v>10464710.813333333</v>
      </c>
      <c r="K330" s="576">
        <f t="shared" si="98"/>
        <v>63.769878139687172</v>
      </c>
      <c r="L330" s="528"/>
      <c r="M330" s="528"/>
    </row>
    <row r="331" spans="1:13" s="42" customFormat="1" ht="20.100000000000001" customHeight="1">
      <c r="A331" s="284">
        <f>A330+1</f>
        <v>10</v>
      </c>
      <c r="B331" s="586" t="s">
        <v>237</v>
      </c>
      <c r="C331" s="587"/>
      <c r="D331" s="282">
        <v>62.699999999999996</v>
      </c>
      <c r="E331" s="289" t="s">
        <v>80</v>
      </c>
      <c r="F331" s="283">
        <f>(1200000/6)*1.4</f>
        <v>280000</v>
      </c>
      <c r="G331" s="292">
        <f t="shared" si="121"/>
        <v>17556000</v>
      </c>
      <c r="H331" s="535"/>
      <c r="I331" s="541">
        <v>391694.09371794877</v>
      </c>
      <c r="J331" s="560">
        <f t="shared" si="119"/>
        <v>24559219.676115386</v>
      </c>
      <c r="K331" s="576">
        <f t="shared" si="98"/>
        <v>71.484355901884626</v>
      </c>
      <c r="L331" s="528"/>
      <c r="M331" s="528"/>
    </row>
    <row r="332" spans="1:13" s="42" customFormat="1" ht="20.100000000000001" customHeight="1">
      <c r="A332" s="284">
        <f t="shared" si="122"/>
        <v>11</v>
      </c>
      <c r="B332" s="586" t="s">
        <v>238</v>
      </c>
      <c r="C332" s="587"/>
      <c r="D332" s="282">
        <v>112.19999999999999</v>
      </c>
      <c r="E332" s="289" t="s">
        <v>80</v>
      </c>
      <c r="F332" s="283">
        <f>(1150000/6)*1.4</f>
        <v>268333.33333333331</v>
      </c>
      <c r="G332" s="292">
        <f t="shared" si="121"/>
        <v>30106999.999999996</v>
      </c>
      <c r="H332" s="535"/>
      <c r="I332" s="541">
        <v>243930.48871794873</v>
      </c>
      <c r="J332" s="560">
        <f t="shared" si="119"/>
        <v>27369000.834153846</v>
      </c>
      <c r="K332" s="560">
        <f t="shared" si="98"/>
        <v>110.00401579304055</v>
      </c>
      <c r="L332" s="528"/>
      <c r="M332" s="528"/>
    </row>
    <row r="333" spans="1:13" s="42" customFormat="1" ht="20.100000000000001" customHeight="1">
      <c r="A333" s="284">
        <f t="shared" si="122"/>
        <v>12</v>
      </c>
      <c r="B333" s="586" t="s">
        <v>81</v>
      </c>
      <c r="C333" s="587"/>
      <c r="D333" s="282">
        <v>120</v>
      </c>
      <c r="E333" s="289" t="s">
        <v>7</v>
      </c>
      <c r="F333" s="283">
        <v>32000</v>
      </c>
      <c r="G333" s="292">
        <f t="shared" si="121"/>
        <v>3840000</v>
      </c>
      <c r="H333" s="535"/>
      <c r="I333" s="541">
        <v>32664.500000000004</v>
      </c>
      <c r="J333" s="560">
        <f t="shared" si="119"/>
        <v>3919740.0000000005</v>
      </c>
      <c r="K333" s="560">
        <f t="shared" si="98"/>
        <v>97.965681397235514</v>
      </c>
      <c r="L333" s="528"/>
      <c r="M333" s="528"/>
    </row>
    <row r="334" spans="1:13" s="42" customFormat="1" ht="20.100000000000001" customHeight="1">
      <c r="A334" s="284">
        <f t="shared" si="122"/>
        <v>13</v>
      </c>
      <c r="B334" s="286" t="s">
        <v>319</v>
      </c>
      <c r="C334" s="281"/>
      <c r="D334" s="74">
        <v>60</v>
      </c>
      <c r="E334" s="81" t="s">
        <v>40</v>
      </c>
      <c r="F334" s="283">
        <f>(550000/6)*1.3</f>
        <v>119166.66666666667</v>
      </c>
      <c r="G334" s="292">
        <f t="shared" si="121"/>
        <v>7150000</v>
      </c>
      <c r="H334" s="535"/>
      <c r="I334" s="541">
        <v>136287.25</v>
      </c>
      <c r="J334" s="560">
        <f t="shared" si="119"/>
        <v>8177235</v>
      </c>
      <c r="K334" s="560">
        <f t="shared" ref="K334:K397" si="123">F334/I334*100</f>
        <v>87.437868668321258</v>
      </c>
      <c r="L334" s="528"/>
      <c r="M334" s="528"/>
    </row>
    <row r="335" spans="1:13" s="42" customFormat="1" ht="20.100000000000001" customHeight="1">
      <c r="A335" s="66"/>
      <c r="B335" s="184"/>
      <c r="C335" s="184"/>
      <c r="D335" s="64"/>
      <c r="E335" s="65"/>
      <c r="F335" s="68"/>
      <c r="G335" s="88"/>
      <c r="H335" s="535"/>
      <c r="I335" s="548"/>
      <c r="J335" s="560">
        <f t="shared" si="119"/>
        <v>0</v>
      </c>
      <c r="K335" s="560"/>
      <c r="L335" s="528"/>
      <c r="M335" s="528"/>
    </row>
    <row r="336" spans="1:13" s="42" customFormat="1" ht="20.100000000000001" customHeight="1">
      <c r="A336" s="83" t="s">
        <v>82</v>
      </c>
      <c r="B336" s="188" t="s">
        <v>83</v>
      </c>
      <c r="C336" s="189"/>
      <c r="D336" s="84"/>
      <c r="E336" s="85"/>
      <c r="F336" s="86"/>
      <c r="G336" s="87">
        <f>SUM(G338:G347)</f>
        <v>114515280</v>
      </c>
      <c r="H336" s="535"/>
      <c r="I336" s="550"/>
      <c r="J336" s="560">
        <f t="shared" si="119"/>
        <v>0</v>
      </c>
      <c r="K336" s="560"/>
      <c r="L336" s="528"/>
      <c r="M336" s="528"/>
    </row>
    <row r="337" spans="1:13" s="42" customFormat="1" ht="20.100000000000001" customHeight="1">
      <c r="A337" s="66"/>
      <c r="B337" s="183"/>
      <c r="C337" s="184"/>
      <c r="D337" s="64"/>
      <c r="E337" s="65"/>
      <c r="F337" s="68"/>
      <c r="G337" s="67"/>
      <c r="H337" s="535"/>
      <c r="I337" s="548"/>
      <c r="J337" s="560">
        <f t="shared" si="119"/>
        <v>0</v>
      </c>
      <c r="K337" s="560"/>
      <c r="L337" s="528"/>
      <c r="M337" s="528"/>
    </row>
    <row r="338" spans="1:13" s="42" customFormat="1" ht="20.100000000000001" customHeight="1">
      <c r="A338" s="285">
        <v>1</v>
      </c>
      <c r="B338" s="280" t="s">
        <v>37</v>
      </c>
      <c r="C338" s="288"/>
      <c r="D338" s="74">
        <v>9.7200000000000006</v>
      </c>
      <c r="E338" s="289" t="s">
        <v>61</v>
      </c>
      <c r="F338" s="290">
        <f>F322</f>
        <v>90000</v>
      </c>
      <c r="G338" s="67">
        <f t="shared" ref="G338:G346" si="124">D338*F338</f>
        <v>874800</v>
      </c>
      <c r="H338" s="535"/>
      <c r="I338" s="546">
        <v>68612.5</v>
      </c>
      <c r="J338" s="560">
        <f t="shared" si="119"/>
        <v>666913.5</v>
      </c>
      <c r="K338" s="560">
        <f t="shared" si="123"/>
        <v>131.17143377664419</v>
      </c>
      <c r="L338" s="528"/>
      <c r="M338" s="528"/>
    </row>
    <row r="339" spans="1:13" s="42" customFormat="1" ht="20.100000000000001" customHeight="1">
      <c r="A339" s="285">
        <f t="shared" ref="A339:A346" si="125">A338+1</f>
        <v>2</v>
      </c>
      <c r="B339" s="286" t="s">
        <v>62</v>
      </c>
      <c r="C339" s="281"/>
      <c r="D339" s="74">
        <v>1.944</v>
      </c>
      <c r="E339" s="289" t="s">
        <v>61</v>
      </c>
      <c r="F339" s="290">
        <f>F324</f>
        <v>350000</v>
      </c>
      <c r="G339" s="67">
        <f t="shared" si="124"/>
        <v>680400</v>
      </c>
      <c r="H339" s="535"/>
      <c r="I339" s="546">
        <v>257207.50000000003</v>
      </c>
      <c r="J339" s="560">
        <f t="shared" si="119"/>
        <v>500011.38000000006</v>
      </c>
      <c r="K339" s="560">
        <f t="shared" si="123"/>
        <v>136.07690288969022</v>
      </c>
      <c r="L339" s="528"/>
      <c r="M339" s="528"/>
    </row>
    <row r="340" spans="1:13" s="42" customFormat="1" ht="20.100000000000001" customHeight="1">
      <c r="A340" s="285">
        <f t="shared" si="125"/>
        <v>3</v>
      </c>
      <c r="B340" s="278" t="s">
        <v>69</v>
      </c>
      <c r="C340" s="184"/>
      <c r="D340" s="64">
        <v>37.692</v>
      </c>
      <c r="E340" s="65" t="s">
        <v>38</v>
      </c>
      <c r="F340" s="277">
        <f>F290</f>
        <v>250000</v>
      </c>
      <c r="G340" s="67">
        <f t="shared" si="124"/>
        <v>9423000</v>
      </c>
      <c r="H340" s="535"/>
      <c r="I340" s="277">
        <v>250318.75000000003</v>
      </c>
      <c r="J340" s="560">
        <f t="shared" si="119"/>
        <v>9435014.3250000011</v>
      </c>
      <c r="K340" s="560">
        <f t="shared" si="123"/>
        <v>99.872662355496729</v>
      </c>
      <c r="L340" s="528"/>
      <c r="M340" s="528"/>
    </row>
    <row r="341" spans="1:13" s="42" customFormat="1" ht="20.100000000000001" customHeight="1">
      <c r="A341" s="285">
        <f t="shared" si="125"/>
        <v>4</v>
      </c>
      <c r="B341" s="286" t="s">
        <v>64</v>
      </c>
      <c r="C341" s="281"/>
      <c r="D341" s="64">
        <v>1.7135999999999998</v>
      </c>
      <c r="E341" s="289" t="s">
        <v>65</v>
      </c>
      <c r="F341" s="290">
        <f>F325</f>
        <v>950000</v>
      </c>
      <c r="G341" s="67">
        <f t="shared" si="124"/>
        <v>1627919.9999999998</v>
      </c>
      <c r="H341" s="535"/>
      <c r="I341" s="546">
        <v>1110010.5092592593</v>
      </c>
      <c r="J341" s="560">
        <f t="shared" si="119"/>
        <v>1902114.0086666665</v>
      </c>
      <c r="K341" s="560">
        <f t="shared" si="123"/>
        <v>85.584775285953029</v>
      </c>
      <c r="L341" s="528"/>
      <c r="M341" s="528"/>
    </row>
    <row r="342" spans="1:13" s="42" customFormat="1" ht="20.100000000000001" customHeight="1">
      <c r="A342" s="285">
        <f t="shared" si="125"/>
        <v>5</v>
      </c>
      <c r="B342" s="280" t="s">
        <v>66</v>
      </c>
      <c r="C342" s="281"/>
      <c r="D342" s="228">
        <v>7.68</v>
      </c>
      <c r="E342" s="289" t="s">
        <v>65</v>
      </c>
      <c r="F342" s="283">
        <f>F315</f>
        <v>3500000</v>
      </c>
      <c r="G342" s="67">
        <f t="shared" si="124"/>
        <v>26880000</v>
      </c>
      <c r="H342" s="535"/>
      <c r="I342" s="541">
        <v>2448894.5462962966</v>
      </c>
      <c r="J342" s="560">
        <f t="shared" si="119"/>
        <v>18807510.115555558</v>
      </c>
      <c r="K342" s="560">
        <f t="shared" si="123"/>
        <v>142.92162989596238</v>
      </c>
      <c r="L342" s="528"/>
      <c r="M342" s="528"/>
    </row>
    <row r="343" spans="1:13" s="42" customFormat="1" ht="20.100000000000001" customHeight="1">
      <c r="A343" s="285">
        <f t="shared" si="125"/>
        <v>6</v>
      </c>
      <c r="B343" s="286" t="s">
        <v>71</v>
      </c>
      <c r="C343" s="281"/>
      <c r="D343" s="74">
        <v>11.664</v>
      </c>
      <c r="E343" s="289" t="s">
        <v>65</v>
      </c>
      <c r="F343" s="290">
        <f>F313</f>
        <v>900000</v>
      </c>
      <c r="G343" s="67">
        <f t="shared" si="124"/>
        <v>10497600</v>
      </c>
      <c r="H343" s="535"/>
      <c r="I343" s="546">
        <v>1120599.7000000002</v>
      </c>
      <c r="J343" s="560">
        <f t="shared" si="119"/>
        <v>13070674.900800003</v>
      </c>
      <c r="K343" s="560">
        <f t="shared" si="123"/>
        <v>80.314138938284557</v>
      </c>
      <c r="L343" s="528"/>
      <c r="M343" s="528"/>
    </row>
    <row r="344" spans="1:13" s="42" customFormat="1" ht="20.100000000000001" customHeight="1">
      <c r="A344" s="285">
        <f t="shared" si="125"/>
        <v>7</v>
      </c>
      <c r="B344" s="286" t="s">
        <v>84</v>
      </c>
      <c r="C344" s="281"/>
      <c r="D344" s="282">
        <v>96</v>
      </c>
      <c r="E344" s="81" t="s">
        <v>40</v>
      </c>
      <c r="F344" s="283">
        <v>50000</v>
      </c>
      <c r="G344" s="67">
        <f t="shared" si="124"/>
        <v>4800000</v>
      </c>
      <c r="H344" s="535"/>
      <c r="I344" s="541">
        <v>62240.750000000007</v>
      </c>
      <c r="J344" s="560">
        <f t="shared" si="119"/>
        <v>5975112.0000000009</v>
      </c>
      <c r="K344" s="560">
        <f t="shared" si="123"/>
        <v>80.333222205709276</v>
      </c>
      <c r="L344" s="528"/>
      <c r="M344" s="528"/>
    </row>
    <row r="345" spans="1:13" s="42" customFormat="1" ht="20.100000000000001" customHeight="1">
      <c r="A345" s="66">
        <f t="shared" si="125"/>
        <v>8</v>
      </c>
      <c r="B345" s="278" t="s">
        <v>133</v>
      </c>
      <c r="C345" s="184"/>
      <c r="D345" s="64">
        <v>343.79999999999995</v>
      </c>
      <c r="E345" s="65" t="s">
        <v>56</v>
      </c>
      <c r="F345" s="277">
        <f>F291</f>
        <v>161000</v>
      </c>
      <c r="G345" s="67">
        <f t="shared" si="124"/>
        <v>55351799.999999993</v>
      </c>
      <c r="H345" s="535"/>
      <c r="I345" s="277">
        <v>166919.5</v>
      </c>
      <c r="J345" s="560">
        <f t="shared" si="119"/>
        <v>57386924.099999994</v>
      </c>
      <c r="K345" s="560">
        <f t="shared" si="123"/>
        <v>96.453679767792252</v>
      </c>
      <c r="L345" s="528"/>
      <c r="M345" s="528"/>
    </row>
    <row r="346" spans="1:13" s="42" customFormat="1" ht="20.100000000000001" customHeight="1">
      <c r="A346" s="66">
        <f t="shared" si="125"/>
        <v>9</v>
      </c>
      <c r="B346" s="278" t="s">
        <v>134</v>
      </c>
      <c r="C346" s="184"/>
      <c r="D346" s="64">
        <v>46.2</v>
      </c>
      <c r="E346" s="65" t="s">
        <v>52</v>
      </c>
      <c r="F346" s="277">
        <f>F306</f>
        <v>94800</v>
      </c>
      <c r="G346" s="67">
        <f t="shared" si="124"/>
        <v>4379760</v>
      </c>
      <c r="H346" s="535"/>
      <c r="I346" s="277">
        <v>138898.375</v>
      </c>
      <c r="J346" s="560">
        <f t="shared" si="119"/>
        <v>6417104.9250000007</v>
      </c>
      <c r="K346" s="576">
        <f t="shared" si="123"/>
        <v>68.251338433584991</v>
      </c>
      <c r="L346" s="528"/>
      <c r="M346" s="528"/>
    </row>
    <row r="347" spans="1:13" s="42" customFormat="1" ht="20.100000000000001" customHeight="1">
      <c r="A347" s="271"/>
      <c r="B347" s="273"/>
      <c r="C347" s="273"/>
      <c r="D347" s="274"/>
      <c r="E347" s="45"/>
      <c r="F347" s="294"/>
      <c r="G347" s="295"/>
      <c r="H347" s="535"/>
      <c r="I347" s="551"/>
      <c r="J347" s="560">
        <f t="shared" si="119"/>
        <v>0</v>
      </c>
      <c r="K347" s="560"/>
      <c r="L347" s="528"/>
      <c r="M347" s="528"/>
    </row>
    <row r="348" spans="1:13" s="42" customFormat="1" ht="20.100000000000001" customHeight="1">
      <c r="A348" s="76" t="s">
        <v>265</v>
      </c>
      <c r="B348" s="181" t="s">
        <v>141</v>
      </c>
      <c r="C348" s="182"/>
      <c r="D348" s="77"/>
      <c r="E348" s="78"/>
      <c r="F348" s="79"/>
      <c r="G348" s="80">
        <f>SUM(G350:G410)</f>
        <v>419329378.45000005</v>
      </c>
      <c r="H348" s="535"/>
      <c r="I348" s="544"/>
      <c r="J348" s="560">
        <f t="shared" si="119"/>
        <v>0</v>
      </c>
      <c r="K348" s="560"/>
      <c r="L348" s="528"/>
      <c r="M348" s="528"/>
    </row>
    <row r="349" spans="1:13" s="42" customFormat="1" ht="20.100000000000001" customHeight="1">
      <c r="A349" s="66"/>
      <c r="B349" s="183" t="s">
        <v>253</v>
      </c>
      <c r="C349" s="184"/>
      <c r="D349" s="64"/>
      <c r="E349" s="65"/>
      <c r="F349" s="68"/>
      <c r="G349" s="67"/>
      <c r="H349" s="535"/>
      <c r="I349" s="548"/>
      <c r="J349" s="560">
        <f t="shared" si="119"/>
        <v>0</v>
      </c>
      <c r="K349" s="560"/>
      <c r="L349" s="528"/>
      <c r="M349" s="528"/>
    </row>
    <row r="350" spans="1:13" s="42" customFormat="1" ht="20.100000000000001" customHeight="1">
      <c r="A350" s="296">
        <v>1</v>
      </c>
      <c r="B350" s="280" t="s">
        <v>37</v>
      </c>
      <c r="C350" s="288"/>
      <c r="D350" s="74">
        <v>3.84</v>
      </c>
      <c r="E350" s="289" t="s">
        <v>61</v>
      </c>
      <c r="F350" s="290">
        <f>F338</f>
        <v>90000</v>
      </c>
      <c r="G350" s="67">
        <f t="shared" ref="G350:G370" si="126">D350*F350</f>
        <v>345600</v>
      </c>
      <c r="H350" s="535"/>
      <c r="I350" s="546">
        <v>68612.5</v>
      </c>
      <c r="J350" s="560">
        <f t="shared" si="119"/>
        <v>263472</v>
      </c>
      <c r="K350" s="560">
        <f t="shared" si="123"/>
        <v>131.17143377664419</v>
      </c>
      <c r="L350" s="528"/>
      <c r="M350" s="528"/>
    </row>
    <row r="351" spans="1:13" s="42" customFormat="1" ht="20.100000000000001" customHeight="1">
      <c r="A351" s="296">
        <f>1+A350</f>
        <v>2</v>
      </c>
      <c r="B351" s="297" t="s">
        <v>233</v>
      </c>
      <c r="C351" s="288"/>
      <c r="D351" s="74">
        <v>24.513839999999998</v>
      </c>
      <c r="E351" s="289" t="s">
        <v>61</v>
      </c>
      <c r="F351" s="290">
        <f>F323</f>
        <v>50000</v>
      </c>
      <c r="G351" s="67">
        <f t="shared" si="126"/>
        <v>1225692</v>
      </c>
      <c r="H351" s="535"/>
      <c r="I351" s="546">
        <v>28909.375000000004</v>
      </c>
      <c r="J351" s="560">
        <f t="shared" si="119"/>
        <v>708679.79324999999</v>
      </c>
      <c r="K351" s="560">
        <f t="shared" si="123"/>
        <v>172.9542752134904</v>
      </c>
      <c r="L351" s="528"/>
      <c r="M351" s="528"/>
    </row>
    <row r="352" spans="1:13" s="42" customFormat="1" ht="20.100000000000001" customHeight="1">
      <c r="A352" s="296">
        <f t="shared" ref="A352:A370" si="127">1+A351</f>
        <v>3</v>
      </c>
      <c r="B352" s="278" t="s">
        <v>63</v>
      </c>
      <c r="C352" s="184"/>
      <c r="D352" s="64">
        <v>56.142100000000006</v>
      </c>
      <c r="E352" s="65" t="s">
        <v>38</v>
      </c>
      <c r="F352" s="277">
        <f>F298</f>
        <v>250000</v>
      </c>
      <c r="G352" s="67">
        <f t="shared" si="126"/>
        <v>14035525.000000002</v>
      </c>
      <c r="H352" s="535"/>
      <c r="I352" s="277">
        <v>250318.75000000003</v>
      </c>
      <c r="J352" s="560">
        <f t="shared" si="119"/>
        <v>14053420.294375002</v>
      </c>
      <c r="K352" s="560">
        <f t="shared" si="123"/>
        <v>99.872662355496729</v>
      </c>
      <c r="L352" s="528"/>
      <c r="M352" s="528"/>
    </row>
    <row r="353" spans="1:13" s="42" customFormat="1" ht="20.100000000000001" customHeight="1">
      <c r="A353" s="296">
        <f t="shared" si="127"/>
        <v>4</v>
      </c>
      <c r="B353" s="286" t="s">
        <v>62</v>
      </c>
      <c r="C353" s="281"/>
      <c r="D353" s="74">
        <v>5.8860900000000012</v>
      </c>
      <c r="E353" s="289" t="s">
        <v>61</v>
      </c>
      <c r="F353" s="290">
        <f>F339</f>
        <v>350000</v>
      </c>
      <c r="G353" s="67">
        <f t="shared" si="126"/>
        <v>2060131.5000000005</v>
      </c>
      <c r="H353" s="535"/>
      <c r="I353" s="546">
        <v>257207.50000000003</v>
      </c>
      <c r="J353" s="560">
        <f t="shared" si="119"/>
        <v>1513946.4936750005</v>
      </c>
      <c r="K353" s="560">
        <f t="shared" si="123"/>
        <v>136.07690288969022</v>
      </c>
      <c r="L353" s="528"/>
      <c r="M353" s="528"/>
    </row>
    <row r="354" spans="1:13" s="42" customFormat="1" ht="20.100000000000001" customHeight="1">
      <c r="A354" s="296">
        <f t="shared" si="127"/>
        <v>5</v>
      </c>
      <c r="B354" s="286" t="s">
        <v>67</v>
      </c>
      <c r="C354" s="281"/>
      <c r="D354" s="74">
        <v>15.400500000000001</v>
      </c>
      <c r="E354" s="289" t="s">
        <v>142</v>
      </c>
      <c r="F354" s="290">
        <f>F313</f>
        <v>900000</v>
      </c>
      <c r="G354" s="67">
        <f t="shared" si="126"/>
        <v>13860450</v>
      </c>
      <c r="H354" s="535"/>
      <c r="I354" s="546">
        <v>1120599.7000000002</v>
      </c>
      <c r="J354" s="560">
        <f t="shared" si="119"/>
        <v>17257795.679850005</v>
      </c>
      <c r="K354" s="560">
        <f t="shared" si="123"/>
        <v>80.314138938284557</v>
      </c>
      <c r="L354" s="528"/>
      <c r="M354" s="528"/>
    </row>
    <row r="355" spans="1:13" s="42" customFormat="1" ht="20.100000000000001" customHeight="1">
      <c r="A355" s="296">
        <f t="shared" si="127"/>
        <v>6</v>
      </c>
      <c r="B355" s="286" t="s">
        <v>64</v>
      </c>
      <c r="C355" s="281"/>
      <c r="D355" s="74">
        <v>3.5441050000000001</v>
      </c>
      <c r="E355" s="289" t="s">
        <v>142</v>
      </c>
      <c r="F355" s="290">
        <f>F341</f>
        <v>950000</v>
      </c>
      <c r="G355" s="67">
        <f t="shared" si="126"/>
        <v>3366899.75</v>
      </c>
      <c r="H355" s="535"/>
      <c r="I355" s="546">
        <v>1110010.5092592593</v>
      </c>
      <c r="J355" s="560">
        <f t="shared" si="119"/>
        <v>3933993.7959182872</v>
      </c>
      <c r="K355" s="560">
        <f t="shared" si="123"/>
        <v>85.584775285953029</v>
      </c>
      <c r="L355" s="528"/>
      <c r="M355" s="528"/>
    </row>
    <row r="356" spans="1:13" s="42" customFormat="1" ht="20.100000000000001" customHeight="1">
      <c r="A356" s="296">
        <f t="shared" si="127"/>
        <v>7</v>
      </c>
      <c r="B356" s="280" t="s">
        <v>151</v>
      </c>
      <c r="C356" s="281"/>
      <c r="D356" s="228">
        <v>6.5370240000000006</v>
      </c>
      <c r="E356" s="289" t="s">
        <v>142</v>
      </c>
      <c r="F356" s="283">
        <f>F342</f>
        <v>3500000</v>
      </c>
      <c r="G356" s="67">
        <f t="shared" si="126"/>
        <v>22879584.000000004</v>
      </c>
      <c r="H356" s="535"/>
      <c r="I356" s="541">
        <v>3022404.7962962966</v>
      </c>
      <c r="J356" s="560">
        <f t="shared" si="119"/>
        <v>19757532.691104002</v>
      </c>
      <c r="K356" s="560">
        <f t="shared" si="123"/>
        <v>115.80182787854744</v>
      </c>
      <c r="L356" s="528"/>
      <c r="M356" s="528"/>
    </row>
    <row r="357" spans="1:13" s="42" customFormat="1" ht="20.100000000000001" customHeight="1">
      <c r="A357" s="296">
        <f t="shared" si="127"/>
        <v>8</v>
      </c>
      <c r="B357" s="280" t="s">
        <v>152</v>
      </c>
      <c r="C357" s="281"/>
      <c r="D357" s="228">
        <v>1.3650000000000002</v>
      </c>
      <c r="E357" s="289" t="s">
        <v>142</v>
      </c>
      <c r="F357" s="283">
        <f>F301</f>
        <v>4000000</v>
      </c>
      <c r="G357" s="67">
        <f t="shared" si="126"/>
        <v>5460000.0000000009</v>
      </c>
      <c r="H357" s="535"/>
      <c r="I357" s="541">
        <v>3022404.7962962966</v>
      </c>
      <c r="J357" s="560">
        <f t="shared" si="119"/>
        <v>4125582.5469444455</v>
      </c>
      <c r="K357" s="560">
        <f t="shared" si="123"/>
        <v>132.34494614691135</v>
      </c>
      <c r="L357" s="528"/>
      <c r="M357" s="528"/>
    </row>
    <row r="358" spans="1:13" s="42" customFormat="1" ht="20.100000000000001" customHeight="1">
      <c r="A358" s="296">
        <f t="shared" si="127"/>
        <v>9</v>
      </c>
      <c r="B358" s="286" t="s">
        <v>93</v>
      </c>
      <c r="C358" s="281"/>
      <c r="D358" s="74">
        <v>9.6</v>
      </c>
      <c r="E358" s="289" t="s">
        <v>58</v>
      </c>
      <c r="F358" s="290">
        <f>F200</f>
        <v>62000</v>
      </c>
      <c r="G358" s="67">
        <f t="shared" si="126"/>
        <v>595200</v>
      </c>
      <c r="H358" s="535"/>
      <c r="I358" s="546">
        <v>74545.08600000001</v>
      </c>
      <c r="J358" s="560">
        <f t="shared" si="119"/>
        <v>715632.8256000001</v>
      </c>
      <c r="K358" s="560">
        <f t="shared" si="123"/>
        <v>83.171142897333283</v>
      </c>
      <c r="L358" s="528"/>
      <c r="M358" s="528"/>
    </row>
    <row r="359" spans="1:13" s="42" customFormat="1" ht="20.100000000000001" customHeight="1">
      <c r="A359" s="296">
        <f t="shared" si="127"/>
        <v>10</v>
      </c>
      <c r="B359" s="286" t="s">
        <v>150</v>
      </c>
      <c r="C359" s="281"/>
      <c r="D359" s="282">
        <v>9.8600000000000012</v>
      </c>
      <c r="E359" s="81" t="s">
        <v>40</v>
      </c>
      <c r="F359" s="283">
        <f>40000</f>
        <v>40000</v>
      </c>
      <c r="G359" s="67">
        <f t="shared" si="126"/>
        <v>394400.00000000006</v>
      </c>
      <c r="H359" s="535"/>
      <c r="I359" s="541">
        <v>45665.675000000003</v>
      </c>
      <c r="J359" s="560">
        <f t="shared" si="119"/>
        <v>450263.55550000007</v>
      </c>
      <c r="K359" s="560">
        <f t="shared" si="123"/>
        <v>87.5931429897839</v>
      </c>
      <c r="L359" s="528"/>
      <c r="M359" s="528"/>
    </row>
    <row r="360" spans="1:13" s="42" customFormat="1" ht="20.100000000000001" customHeight="1">
      <c r="A360" s="296">
        <f t="shared" si="127"/>
        <v>11</v>
      </c>
      <c r="B360" s="286" t="s">
        <v>149</v>
      </c>
      <c r="C360" s="281"/>
      <c r="D360" s="282">
        <v>27.3</v>
      </c>
      <c r="E360" s="81" t="s">
        <v>40</v>
      </c>
      <c r="F360" s="283">
        <f>F316</f>
        <v>40000</v>
      </c>
      <c r="G360" s="67">
        <f t="shared" si="126"/>
        <v>1092000</v>
      </c>
      <c r="H360" s="535"/>
      <c r="I360" s="541">
        <v>45665.675000000003</v>
      </c>
      <c r="J360" s="560">
        <f t="shared" si="119"/>
        <v>1246672.9275000002</v>
      </c>
      <c r="K360" s="560">
        <f t="shared" si="123"/>
        <v>87.5931429897839</v>
      </c>
      <c r="L360" s="528"/>
      <c r="M360" s="528"/>
    </row>
    <row r="361" spans="1:13" s="42" customFormat="1" ht="20.100000000000001" customHeight="1">
      <c r="A361" s="296">
        <f t="shared" si="127"/>
        <v>12</v>
      </c>
      <c r="B361" s="286" t="s">
        <v>68</v>
      </c>
      <c r="C361" s="281"/>
      <c r="D361" s="282">
        <v>30.299999999999997</v>
      </c>
      <c r="E361" s="81" t="s">
        <v>40</v>
      </c>
      <c r="F361" s="283">
        <v>75000</v>
      </c>
      <c r="G361" s="67">
        <f t="shared" si="126"/>
        <v>2272500</v>
      </c>
      <c r="H361" s="535"/>
      <c r="I361" s="541">
        <v>45665.675000000003</v>
      </c>
      <c r="J361" s="560">
        <f t="shared" si="119"/>
        <v>1383669.9524999999</v>
      </c>
      <c r="K361" s="560">
        <f t="shared" si="123"/>
        <v>164.23714310584481</v>
      </c>
      <c r="L361" s="528"/>
      <c r="M361" s="528"/>
    </row>
    <row r="362" spans="1:13" s="42" customFormat="1" ht="20.100000000000001" customHeight="1">
      <c r="A362" s="296">
        <f t="shared" si="127"/>
        <v>13</v>
      </c>
      <c r="B362" s="286" t="s">
        <v>143</v>
      </c>
      <c r="C362" s="281"/>
      <c r="D362" s="282">
        <v>14.9</v>
      </c>
      <c r="E362" s="81" t="s">
        <v>40</v>
      </c>
      <c r="F362" s="283">
        <f>F361</f>
        <v>75000</v>
      </c>
      <c r="G362" s="67">
        <f t="shared" si="126"/>
        <v>1117500</v>
      </c>
      <c r="H362" s="535"/>
      <c r="I362" s="541">
        <v>45665.675000000003</v>
      </c>
      <c r="J362" s="560">
        <f t="shared" si="119"/>
        <v>680418.55750000011</v>
      </c>
      <c r="K362" s="560">
        <f t="shared" si="123"/>
        <v>164.23714310584481</v>
      </c>
      <c r="L362" s="528"/>
      <c r="M362" s="528"/>
    </row>
    <row r="363" spans="1:13" s="42" customFormat="1" ht="20.100000000000001" customHeight="1">
      <c r="A363" s="296">
        <f t="shared" si="127"/>
        <v>14</v>
      </c>
      <c r="B363" s="286" t="s">
        <v>144</v>
      </c>
      <c r="C363" s="281"/>
      <c r="D363" s="74">
        <v>11</v>
      </c>
      <c r="E363" s="81" t="s">
        <v>52</v>
      </c>
      <c r="F363" s="283">
        <v>30000</v>
      </c>
      <c r="G363" s="67">
        <f t="shared" si="126"/>
        <v>330000</v>
      </c>
      <c r="H363" s="535"/>
      <c r="I363" s="541">
        <v>37000</v>
      </c>
      <c r="J363" s="560">
        <f t="shared" si="119"/>
        <v>407000</v>
      </c>
      <c r="K363" s="560">
        <f t="shared" si="123"/>
        <v>81.081081081081081</v>
      </c>
      <c r="L363" s="528"/>
      <c r="M363" s="528"/>
    </row>
    <row r="364" spans="1:13" s="42" customFormat="1" ht="20.100000000000001" customHeight="1">
      <c r="A364" s="296">
        <f t="shared" si="127"/>
        <v>15</v>
      </c>
      <c r="B364" s="286" t="s">
        <v>145</v>
      </c>
      <c r="C364" s="281"/>
      <c r="D364" s="74">
        <v>13.700000000000001</v>
      </c>
      <c r="E364" s="81" t="s">
        <v>40</v>
      </c>
      <c r="F364" s="283">
        <v>200000</v>
      </c>
      <c r="G364" s="67">
        <f t="shared" si="126"/>
        <v>2740000</v>
      </c>
      <c r="H364" s="535"/>
      <c r="I364" s="541">
        <v>216641.42500000002</v>
      </c>
      <c r="J364" s="560">
        <f t="shared" si="119"/>
        <v>2967987.5225000004</v>
      </c>
      <c r="K364" s="560">
        <f t="shared" si="123"/>
        <v>92.318447406815196</v>
      </c>
      <c r="L364" s="528"/>
      <c r="M364" s="528"/>
    </row>
    <row r="365" spans="1:13" s="42" customFormat="1" ht="20.100000000000001" customHeight="1">
      <c r="A365" s="296">
        <f t="shared" si="127"/>
        <v>16</v>
      </c>
      <c r="B365" s="286" t="s">
        <v>146</v>
      </c>
      <c r="C365" s="281"/>
      <c r="D365" s="74">
        <v>22.138500000000001</v>
      </c>
      <c r="E365" s="81" t="s">
        <v>40</v>
      </c>
      <c r="F365" s="283">
        <v>300000</v>
      </c>
      <c r="G365" s="67">
        <f t="shared" si="126"/>
        <v>6641550</v>
      </c>
      <c r="H365" s="535"/>
      <c r="I365" s="541">
        <v>216641.42500000002</v>
      </c>
      <c r="J365" s="560">
        <f t="shared" si="119"/>
        <v>4796116.1873625005</v>
      </c>
      <c r="K365" s="560">
        <f t="shared" si="123"/>
        <v>138.47767111022279</v>
      </c>
      <c r="L365" s="528"/>
      <c r="M365" s="528"/>
    </row>
    <row r="366" spans="1:13" s="42" customFormat="1" ht="20.100000000000001" customHeight="1">
      <c r="A366" s="296">
        <f t="shared" si="127"/>
        <v>17</v>
      </c>
      <c r="B366" s="280" t="s">
        <v>229</v>
      </c>
      <c r="C366" s="281"/>
      <c r="D366" s="228">
        <v>10</v>
      </c>
      <c r="E366" s="289" t="s">
        <v>3</v>
      </c>
      <c r="F366" s="537">
        <v>1500000</v>
      </c>
      <c r="G366" s="67">
        <f t="shared" si="126"/>
        <v>15000000</v>
      </c>
      <c r="H366" s="535"/>
      <c r="I366" s="541">
        <v>1950000</v>
      </c>
      <c r="J366" s="560">
        <f t="shared" si="119"/>
        <v>19500000</v>
      </c>
      <c r="K366" s="560">
        <f t="shared" si="123"/>
        <v>76.923076923076934</v>
      </c>
      <c r="L366" s="528"/>
      <c r="M366" s="528"/>
    </row>
    <row r="367" spans="1:13" s="42" customFormat="1" ht="20.100000000000001" customHeight="1">
      <c r="A367" s="296">
        <f t="shared" si="127"/>
        <v>18</v>
      </c>
      <c r="B367" s="280" t="s">
        <v>230</v>
      </c>
      <c r="C367" s="281"/>
      <c r="D367" s="228">
        <v>4</v>
      </c>
      <c r="E367" s="289" t="s">
        <v>3</v>
      </c>
      <c r="F367" s="537">
        <v>2000000</v>
      </c>
      <c r="G367" s="67">
        <f t="shared" si="126"/>
        <v>8000000</v>
      </c>
      <c r="H367" s="535"/>
      <c r="I367" s="541">
        <v>5850000</v>
      </c>
      <c r="J367" s="560">
        <f t="shared" si="119"/>
        <v>23400000</v>
      </c>
      <c r="K367" s="576">
        <f t="shared" si="123"/>
        <v>34.188034188034187</v>
      </c>
      <c r="L367" s="528"/>
      <c r="M367" s="528"/>
    </row>
    <row r="368" spans="1:13" s="42" customFormat="1" ht="20.100000000000001" customHeight="1">
      <c r="A368" s="296">
        <f t="shared" si="127"/>
        <v>19</v>
      </c>
      <c r="B368" s="286" t="s">
        <v>147</v>
      </c>
      <c r="C368" s="281"/>
      <c r="D368" s="74">
        <v>189.62630000000001</v>
      </c>
      <c r="E368" s="81" t="s">
        <v>40</v>
      </c>
      <c r="F368" s="283">
        <f>F345</f>
        <v>161000</v>
      </c>
      <c r="G368" s="67">
        <f t="shared" si="126"/>
        <v>30529834.300000001</v>
      </c>
      <c r="H368" s="535"/>
      <c r="I368" s="541">
        <v>166919.5</v>
      </c>
      <c r="J368" s="560">
        <f t="shared" si="119"/>
        <v>31652327.182850003</v>
      </c>
      <c r="K368" s="560">
        <f t="shared" si="123"/>
        <v>96.453679767792252</v>
      </c>
      <c r="L368" s="528"/>
      <c r="M368" s="528"/>
    </row>
    <row r="369" spans="1:13" s="42" customFormat="1" ht="20.100000000000001" customHeight="1">
      <c r="A369" s="296">
        <f t="shared" si="127"/>
        <v>20</v>
      </c>
      <c r="B369" s="286" t="s">
        <v>148</v>
      </c>
      <c r="C369" s="281"/>
      <c r="D369" s="74">
        <v>371.79470000000003</v>
      </c>
      <c r="E369" s="81" t="s">
        <v>40</v>
      </c>
      <c r="F369" s="283">
        <f>F368</f>
        <v>161000</v>
      </c>
      <c r="G369" s="67">
        <f t="shared" si="126"/>
        <v>59858946.700000003</v>
      </c>
      <c r="H369" s="535"/>
      <c r="I369" s="541">
        <v>172117</v>
      </c>
      <c r="J369" s="560">
        <f t="shared" si="119"/>
        <v>63992188.379900008</v>
      </c>
      <c r="K369" s="560">
        <f t="shared" si="123"/>
        <v>93.541021514434959</v>
      </c>
      <c r="L369" s="528"/>
      <c r="M369" s="528"/>
    </row>
    <row r="370" spans="1:13" s="42" customFormat="1" ht="20.100000000000001" customHeight="1">
      <c r="A370" s="296">
        <f t="shared" si="127"/>
        <v>21</v>
      </c>
      <c r="B370" s="278" t="s">
        <v>134</v>
      </c>
      <c r="C370" s="184"/>
      <c r="D370" s="64">
        <v>90.2</v>
      </c>
      <c r="E370" s="65" t="s">
        <v>52</v>
      </c>
      <c r="F370" s="277">
        <f>F346</f>
        <v>94800</v>
      </c>
      <c r="G370" s="67">
        <f t="shared" si="126"/>
        <v>8550960</v>
      </c>
      <c r="H370" s="535"/>
      <c r="I370" s="277">
        <v>138898.375</v>
      </c>
      <c r="J370" s="560">
        <f t="shared" si="119"/>
        <v>12528633.425000001</v>
      </c>
      <c r="K370" s="576">
        <f t="shared" si="123"/>
        <v>68.251338433584991</v>
      </c>
      <c r="L370" s="528"/>
      <c r="M370" s="528"/>
    </row>
    <row r="371" spans="1:13" s="42" customFormat="1" ht="20.100000000000001" customHeight="1">
      <c r="A371" s="66"/>
      <c r="B371" s="183" t="s">
        <v>254</v>
      </c>
      <c r="C371" s="184"/>
      <c r="D371" s="74"/>
      <c r="E371" s="65"/>
      <c r="F371" s="68"/>
      <c r="G371" s="67"/>
      <c r="H371" s="535"/>
      <c r="I371" s="548"/>
      <c r="J371" s="560">
        <f t="shared" si="119"/>
        <v>0</v>
      </c>
      <c r="K371" s="560"/>
      <c r="L371" s="528"/>
      <c r="M371" s="528"/>
    </row>
    <row r="372" spans="1:13" s="42" customFormat="1" ht="20.100000000000001" customHeight="1">
      <c r="A372" s="66">
        <f>1+A370</f>
        <v>22</v>
      </c>
      <c r="B372" s="280" t="s">
        <v>37</v>
      </c>
      <c r="C372" s="288"/>
      <c r="D372" s="74">
        <v>19.478399999999997</v>
      </c>
      <c r="E372" s="289" t="s">
        <v>61</v>
      </c>
      <c r="F372" s="277">
        <f>F350</f>
        <v>90000</v>
      </c>
      <c r="G372" s="67">
        <f t="shared" ref="G372:G390" si="128">D372*F372</f>
        <v>1753055.9999999998</v>
      </c>
      <c r="H372" s="535"/>
      <c r="I372" s="277">
        <v>68612.5</v>
      </c>
      <c r="J372" s="560">
        <f t="shared" si="119"/>
        <v>1336461.7199999997</v>
      </c>
      <c r="K372" s="560">
        <f t="shared" si="123"/>
        <v>131.17143377664419</v>
      </c>
      <c r="L372" s="528"/>
      <c r="M372" s="528"/>
    </row>
    <row r="373" spans="1:13" s="42" customFormat="1" ht="20.100000000000001" customHeight="1">
      <c r="A373" s="66">
        <f t="shared" ref="A373:A390" si="129">1+A372</f>
        <v>23</v>
      </c>
      <c r="B373" s="272" t="s">
        <v>233</v>
      </c>
      <c r="C373" s="288"/>
      <c r="D373" s="74">
        <v>76.513599999999997</v>
      </c>
      <c r="E373" s="289" t="s">
        <v>61</v>
      </c>
      <c r="F373" s="277">
        <f t="shared" ref="F373:F390" si="130">F351</f>
        <v>50000</v>
      </c>
      <c r="G373" s="67">
        <f t="shared" si="128"/>
        <v>3825680</v>
      </c>
      <c r="H373" s="535"/>
      <c r="I373" s="277">
        <v>28909.375000000004</v>
      </c>
      <c r="J373" s="560">
        <f t="shared" si="119"/>
        <v>2211960.355</v>
      </c>
      <c r="K373" s="560">
        <f t="shared" si="123"/>
        <v>172.9542752134904</v>
      </c>
      <c r="L373" s="528"/>
      <c r="M373" s="528"/>
    </row>
    <row r="374" spans="1:13" s="42" customFormat="1" ht="20.100000000000001" customHeight="1">
      <c r="A374" s="66">
        <f t="shared" si="129"/>
        <v>24</v>
      </c>
      <c r="B374" s="278" t="s">
        <v>69</v>
      </c>
      <c r="C374" s="184"/>
      <c r="D374" s="64">
        <v>18.157229999999998</v>
      </c>
      <c r="E374" s="65" t="s">
        <v>38</v>
      </c>
      <c r="F374" s="277">
        <f t="shared" si="130"/>
        <v>250000</v>
      </c>
      <c r="G374" s="67">
        <f t="shared" si="128"/>
        <v>4539307.5</v>
      </c>
      <c r="H374" s="535"/>
      <c r="I374" s="277">
        <v>250318.75000000003</v>
      </c>
      <c r="J374" s="560">
        <f t="shared" si="119"/>
        <v>4545095.1170624997</v>
      </c>
      <c r="K374" s="560">
        <f t="shared" si="123"/>
        <v>99.872662355496729</v>
      </c>
      <c r="L374" s="528"/>
      <c r="M374" s="528"/>
    </row>
    <row r="375" spans="1:13" s="42" customFormat="1" ht="20.100000000000001" customHeight="1">
      <c r="A375" s="66">
        <f t="shared" si="129"/>
        <v>25</v>
      </c>
      <c r="B375" s="286" t="s">
        <v>122</v>
      </c>
      <c r="C375" s="281"/>
      <c r="D375" s="74">
        <v>2.4347999999999996</v>
      </c>
      <c r="E375" s="289" t="s">
        <v>61</v>
      </c>
      <c r="F375" s="277">
        <f t="shared" si="130"/>
        <v>350000</v>
      </c>
      <c r="G375" s="67">
        <f t="shared" si="128"/>
        <v>852179.99999999988</v>
      </c>
      <c r="H375" s="535"/>
      <c r="I375" s="277">
        <v>257207.50000000003</v>
      </c>
      <c r="J375" s="560">
        <f t="shared" ref="J375:J410" si="131">D375*I375</f>
        <v>626248.821</v>
      </c>
      <c r="K375" s="560">
        <f t="shared" si="123"/>
        <v>136.07690288969022</v>
      </c>
      <c r="L375" s="528"/>
      <c r="M375" s="528"/>
    </row>
    <row r="376" spans="1:13" s="42" customFormat="1" ht="20.100000000000001" customHeight="1">
      <c r="A376" s="66">
        <f t="shared" si="129"/>
        <v>26</v>
      </c>
      <c r="B376" s="286" t="s">
        <v>67</v>
      </c>
      <c r="C376" s="281"/>
      <c r="D376" s="74">
        <v>35.756399999999999</v>
      </c>
      <c r="E376" s="289" t="s">
        <v>65</v>
      </c>
      <c r="F376" s="277">
        <f t="shared" si="130"/>
        <v>900000</v>
      </c>
      <c r="G376" s="67">
        <f t="shared" si="128"/>
        <v>32180760</v>
      </c>
      <c r="H376" s="535"/>
      <c r="I376" s="277">
        <v>1120599.7000000002</v>
      </c>
      <c r="J376" s="560">
        <f t="shared" si="131"/>
        <v>40068611.113080002</v>
      </c>
      <c r="K376" s="560">
        <f t="shared" si="123"/>
        <v>80.314138938284557</v>
      </c>
      <c r="L376" s="528"/>
      <c r="M376" s="528"/>
    </row>
    <row r="377" spans="1:13" s="42" customFormat="1" ht="20.100000000000001" customHeight="1">
      <c r="A377" s="66">
        <f t="shared" si="129"/>
        <v>27</v>
      </c>
      <c r="B377" s="286" t="s">
        <v>64</v>
      </c>
      <c r="C377" s="281"/>
      <c r="D377" s="74">
        <v>2.4026039999999997</v>
      </c>
      <c r="E377" s="289" t="s">
        <v>65</v>
      </c>
      <c r="F377" s="277">
        <f t="shared" si="130"/>
        <v>950000</v>
      </c>
      <c r="G377" s="67">
        <f t="shared" si="128"/>
        <v>2282473.7999999998</v>
      </c>
      <c r="H377" s="535"/>
      <c r="I377" s="277">
        <v>1110010.5092592593</v>
      </c>
      <c r="J377" s="560">
        <f t="shared" si="131"/>
        <v>2666915.689588333</v>
      </c>
      <c r="K377" s="560">
        <f t="shared" si="123"/>
        <v>85.584775285953029</v>
      </c>
      <c r="L377" s="528"/>
      <c r="M377" s="528"/>
    </row>
    <row r="378" spans="1:13" s="42" customFormat="1" ht="20.100000000000001" customHeight="1">
      <c r="A378" s="66">
        <f t="shared" si="129"/>
        <v>28</v>
      </c>
      <c r="B378" s="280" t="s">
        <v>255</v>
      </c>
      <c r="C378" s="281"/>
      <c r="D378" s="74">
        <v>6.4069440000000002</v>
      </c>
      <c r="E378" s="289" t="s">
        <v>65</v>
      </c>
      <c r="F378" s="277">
        <f t="shared" si="130"/>
        <v>3500000</v>
      </c>
      <c r="G378" s="67">
        <f t="shared" si="128"/>
        <v>22424304</v>
      </c>
      <c r="H378" s="535"/>
      <c r="I378" s="541">
        <v>2448894.5462962966</v>
      </c>
      <c r="J378" s="560">
        <f t="shared" si="131"/>
        <v>15689930.22002578</v>
      </c>
      <c r="K378" s="560">
        <f t="shared" si="123"/>
        <v>142.92162989596238</v>
      </c>
      <c r="L378" s="528"/>
      <c r="M378" s="528"/>
    </row>
    <row r="379" spans="1:13" s="42" customFormat="1" ht="20.100000000000001" customHeight="1">
      <c r="A379" s="66">
        <f t="shared" si="129"/>
        <v>29</v>
      </c>
      <c r="B379" s="280" t="s">
        <v>256</v>
      </c>
      <c r="C379" s="281"/>
      <c r="D379" s="228">
        <v>0.47100000000000003</v>
      </c>
      <c r="E379" s="289" t="s">
        <v>65</v>
      </c>
      <c r="F379" s="277">
        <f t="shared" si="130"/>
        <v>4000000</v>
      </c>
      <c r="G379" s="67">
        <f t="shared" si="128"/>
        <v>1884000.0000000002</v>
      </c>
      <c r="H379" s="535"/>
      <c r="I379" s="541">
        <v>3011394.5462962966</v>
      </c>
      <c r="J379" s="560">
        <f t="shared" si="131"/>
        <v>1418366.8313055558</v>
      </c>
      <c r="K379" s="560">
        <f t="shared" si="123"/>
        <v>132.82882526700413</v>
      </c>
      <c r="L379" s="528"/>
      <c r="M379" s="528"/>
    </row>
    <row r="380" spans="1:13" s="42" customFormat="1" ht="20.100000000000001" customHeight="1">
      <c r="A380" s="66">
        <f t="shared" si="129"/>
        <v>30</v>
      </c>
      <c r="B380" s="286" t="s">
        <v>93</v>
      </c>
      <c r="C380" s="281"/>
      <c r="D380" s="74">
        <v>17.932500000000001</v>
      </c>
      <c r="E380" s="289" t="s">
        <v>58</v>
      </c>
      <c r="F380" s="277">
        <f t="shared" si="130"/>
        <v>62000</v>
      </c>
      <c r="G380" s="67">
        <f t="shared" si="128"/>
        <v>1111815</v>
      </c>
      <c r="H380" s="535"/>
      <c r="I380" s="277">
        <v>74545.08600000001</v>
      </c>
      <c r="J380" s="560">
        <f t="shared" si="131"/>
        <v>1336779.7546950004</v>
      </c>
      <c r="K380" s="560">
        <f t="shared" si="123"/>
        <v>83.171142897333283</v>
      </c>
      <c r="L380" s="528"/>
      <c r="M380" s="528"/>
    </row>
    <row r="381" spans="1:13" s="42" customFormat="1" ht="20.100000000000001" customHeight="1">
      <c r="A381" s="66">
        <f t="shared" si="129"/>
        <v>31</v>
      </c>
      <c r="B381" s="272" t="s">
        <v>116</v>
      </c>
      <c r="C381" s="273"/>
      <c r="D381" s="274">
        <v>71.867000000000004</v>
      </c>
      <c r="E381" s="45" t="s">
        <v>40</v>
      </c>
      <c r="F381" s="277">
        <f>F198</f>
        <v>60000</v>
      </c>
      <c r="G381" s="292">
        <f t="shared" si="128"/>
        <v>4312020</v>
      </c>
      <c r="H381" s="535"/>
      <c r="I381" s="546">
        <v>111088.2828</v>
      </c>
      <c r="J381" s="560">
        <f t="shared" si="131"/>
        <v>7983581.6199876005</v>
      </c>
      <c r="K381" s="576">
        <f t="shared" si="123"/>
        <v>54.011096839098862</v>
      </c>
      <c r="L381" s="528"/>
      <c r="M381" s="528"/>
    </row>
    <row r="382" spans="1:13" s="42" customFormat="1" ht="20.100000000000001" customHeight="1">
      <c r="A382" s="66">
        <f t="shared" si="129"/>
        <v>32</v>
      </c>
      <c r="B382" s="280" t="s">
        <v>94</v>
      </c>
      <c r="C382" s="281"/>
      <c r="D382" s="74">
        <v>71.867000000000004</v>
      </c>
      <c r="E382" s="289" t="s">
        <v>78</v>
      </c>
      <c r="F382" s="277">
        <f t="shared" si="130"/>
        <v>40000</v>
      </c>
      <c r="G382" s="292">
        <f t="shared" si="128"/>
        <v>2874680</v>
      </c>
      <c r="H382" s="535"/>
      <c r="I382" s="546">
        <v>45665.675000000003</v>
      </c>
      <c r="J382" s="560">
        <f t="shared" si="131"/>
        <v>3281855.0652250005</v>
      </c>
      <c r="K382" s="560">
        <f t="shared" si="123"/>
        <v>87.5931429897839</v>
      </c>
      <c r="L382" s="528"/>
      <c r="M382" s="528"/>
    </row>
    <row r="383" spans="1:13" s="42" customFormat="1" ht="20.100000000000001" customHeight="1">
      <c r="A383" s="66">
        <f t="shared" si="129"/>
        <v>33</v>
      </c>
      <c r="B383" s="286" t="s">
        <v>150</v>
      </c>
      <c r="C383" s="281"/>
      <c r="D383" s="74">
        <v>6.7080000000000002</v>
      </c>
      <c r="E383" s="81" t="s">
        <v>40</v>
      </c>
      <c r="F383" s="277">
        <f>F359</f>
        <v>40000</v>
      </c>
      <c r="G383" s="67">
        <f t="shared" si="128"/>
        <v>268320</v>
      </c>
      <c r="H383" s="535"/>
      <c r="I383" s="277">
        <v>45665.675000000003</v>
      </c>
      <c r="J383" s="560">
        <f t="shared" si="131"/>
        <v>306325.34790000005</v>
      </c>
      <c r="K383" s="560">
        <f t="shared" si="123"/>
        <v>87.5931429897839</v>
      </c>
      <c r="L383" s="528"/>
      <c r="M383" s="528"/>
    </row>
    <row r="384" spans="1:13" s="42" customFormat="1" ht="20.100000000000001" customHeight="1">
      <c r="A384" s="66">
        <f t="shared" si="129"/>
        <v>34</v>
      </c>
      <c r="B384" s="286" t="s">
        <v>149</v>
      </c>
      <c r="C384" s="281"/>
      <c r="D384" s="282">
        <v>12</v>
      </c>
      <c r="E384" s="81" t="s">
        <v>40</v>
      </c>
      <c r="F384" s="277">
        <f>F359</f>
        <v>40000</v>
      </c>
      <c r="G384" s="67">
        <f t="shared" si="128"/>
        <v>480000</v>
      </c>
      <c r="H384" s="535"/>
      <c r="I384" s="277">
        <v>45665.675000000003</v>
      </c>
      <c r="J384" s="560">
        <f t="shared" si="131"/>
        <v>547988.10000000009</v>
      </c>
      <c r="K384" s="560">
        <f t="shared" si="123"/>
        <v>87.5931429897839</v>
      </c>
      <c r="L384" s="528"/>
      <c r="M384" s="528"/>
    </row>
    <row r="385" spans="1:13" s="42" customFormat="1" ht="20.100000000000001" customHeight="1">
      <c r="A385" s="66">
        <f t="shared" si="129"/>
        <v>35</v>
      </c>
      <c r="B385" s="272" t="s">
        <v>257</v>
      </c>
      <c r="C385" s="273"/>
      <c r="D385" s="274">
        <v>58.14</v>
      </c>
      <c r="E385" s="45" t="s">
        <v>40</v>
      </c>
      <c r="F385" s="277">
        <v>80000</v>
      </c>
      <c r="G385" s="292">
        <f t="shared" ref="G385:G386" si="132">D385*F385</f>
        <v>4651200</v>
      </c>
      <c r="H385" s="535"/>
      <c r="I385" s="546">
        <v>151786.67420000001</v>
      </c>
      <c r="J385" s="560">
        <f t="shared" si="131"/>
        <v>8824877.2379880007</v>
      </c>
      <c r="K385" s="576">
        <f t="shared" si="123"/>
        <v>52.705549035608293</v>
      </c>
      <c r="L385" s="528"/>
      <c r="M385" s="528"/>
    </row>
    <row r="386" spans="1:13" s="42" customFormat="1" ht="20.100000000000001" customHeight="1">
      <c r="A386" s="66">
        <f t="shared" si="129"/>
        <v>36</v>
      </c>
      <c r="B386" s="286" t="s">
        <v>258</v>
      </c>
      <c r="C386" s="281"/>
      <c r="D386" s="274">
        <v>46.620000000000005</v>
      </c>
      <c r="E386" s="81" t="s">
        <v>40</v>
      </c>
      <c r="F386" s="277">
        <f>F360</f>
        <v>40000</v>
      </c>
      <c r="G386" s="67">
        <f t="shared" si="132"/>
        <v>1864800.0000000002</v>
      </c>
      <c r="H386" s="535"/>
      <c r="I386" s="277">
        <v>45665.675000000003</v>
      </c>
      <c r="J386" s="560">
        <f t="shared" si="131"/>
        <v>2128933.7685000002</v>
      </c>
      <c r="K386" s="560">
        <f t="shared" si="123"/>
        <v>87.5931429897839</v>
      </c>
      <c r="L386" s="528"/>
      <c r="M386" s="528"/>
    </row>
    <row r="387" spans="1:13" s="42" customFormat="1" ht="20.100000000000001" customHeight="1">
      <c r="A387" s="66">
        <f t="shared" si="129"/>
        <v>37</v>
      </c>
      <c r="B387" s="286" t="s">
        <v>259</v>
      </c>
      <c r="C387" s="281"/>
      <c r="D387" s="274">
        <v>11.52</v>
      </c>
      <c r="E387" s="81" t="s">
        <v>40</v>
      </c>
      <c r="F387" s="277">
        <f>F344</f>
        <v>50000</v>
      </c>
      <c r="G387" s="67">
        <f t="shared" ref="G387" si="133">D387*F387</f>
        <v>576000</v>
      </c>
      <c r="H387" s="535"/>
      <c r="I387" s="277">
        <v>62240.750000000007</v>
      </c>
      <c r="J387" s="560">
        <f t="shared" si="131"/>
        <v>717013.44000000006</v>
      </c>
      <c r="K387" s="560">
        <f t="shared" si="123"/>
        <v>80.333222205709276</v>
      </c>
      <c r="L387" s="528"/>
      <c r="M387" s="528"/>
    </row>
    <row r="388" spans="1:13" s="42" customFormat="1" ht="20.100000000000001" customHeight="1">
      <c r="A388" s="66">
        <f t="shared" si="129"/>
        <v>38</v>
      </c>
      <c r="B388" s="286" t="s">
        <v>260</v>
      </c>
      <c r="C388" s="281"/>
      <c r="D388" s="74">
        <v>68.97</v>
      </c>
      <c r="E388" s="81" t="s">
        <v>52</v>
      </c>
      <c r="F388" s="277">
        <v>50000</v>
      </c>
      <c r="G388" s="67">
        <f t="shared" si="128"/>
        <v>3448500</v>
      </c>
      <c r="H388" s="535"/>
      <c r="I388" s="277">
        <v>57000</v>
      </c>
      <c r="J388" s="560">
        <f t="shared" si="131"/>
        <v>3931290</v>
      </c>
      <c r="K388" s="560">
        <f t="shared" si="123"/>
        <v>87.719298245614027</v>
      </c>
      <c r="L388" s="528"/>
      <c r="M388" s="528"/>
    </row>
    <row r="389" spans="1:13" s="42" customFormat="1" ht="20.100000000000001" customHeight="1">
      <c r="A389" s="66">
        <f t="shared" si="129"/>
        <v>39</v>
      </c>
      <c r="B389" s="286" t="s">
        <v>146</v>
      </c>
      <c r="C389" s="281"/>
      <c r="D389" s="74">
        <v>5.2202999999999999</v>
      </c>
      <c r="E389" s="81" t="s">
        <v>40</v>
      </c>
      <c r="F389" s="277">
        <f>F365</f>
        <v>300000</v>
      </c>
      <c r="G389" s="67">
        <f t="shared" si="128"/>
        <v>1566090</v>
      </c>
      <c r="H389" s="535"/>
      <c r="I389" s="277">
        <v>216641.42500000002</v>
      </c>
      <c r="J389" s="560">
        <f t="shared" si="131"/>
        <v>1130933.2309275002</v>
      </c>
      <c r="K389" s="560">
        <f t="shared" si="123"/>
        <v>138.47767111022279</v>
      </c>
      <c r="L389" s="528"/>
      <c r="M389" s="528"/>
    </row>
    <row r="390" spans="1:13" s="42" customFormat="1" ht="20.100000000000001" customHeight="1">
      <c r="A390" s="66">
        <f t="shared" si="129"/>
        <v>40</v>
      </c>
      <c r="B390" s="286" t="s">
        <v>147</v>
      </c>
      <c r="C390" s="281"/>
      <c r="D390" s="74">
        <v>101.4855</v>
      </c>
      <c r="E390" s="81" t="s">
        <v>40</v>
      </c>
      <c r="F390" s="277">
        <f t="shared" si="130"/>
        <v>161000</v>
      </c>
      <c r="G390" s="67">
        <f t="shared" si="128"/>
        <v>16339165.5</v>
      </c>
      <c r="H390" s="535"/>
      <c r="I390" s="277">
        <v>166919.5</v>
      </c>
      <c r="J390" s="560">
        <f t="shared" si="131"/>
        <v>16939908.91725</v>
      </c>
      <c r="K390" s="560">
        <f t="shared" si="123"/>
        <v>96.453679767792252</v>
      </c>
      <c r="L390" s="528"/>
      <c r="M390" s="528"/>
    </row>
    <row r="391" spans="1:13" s="42" customFormat="1" ht="20.100000000000001" customHeight="1">
      <c r="A391" s="66"/>
      <c r="B391" s="183" t="s">
        <v>261</v>
      </c>
      <c r="C391" s="184"/>
      <c r="D391" s="74"/>
      <c r="E391" s="65"/>
      <c r="F391" s="68"/>
      <c r="G391" s="67"/>
      <c r="H391" s="535"/>
      <c r="I391" s="548"/>
      <c r="J391" s="560">
        <f t="shared" si="131"/>
        <v>0</v>
      </c>
      <c r="K391" s="560"/>
      <c r="L391" s="528"/>
      <c r="M391" s="528"/>
    </row>
    <row r="392" spans="1:13" s="42" customFormat="1" ht="20.100000000000001" customHeight="1">
      <c r="A392" s="66">
        <f>1+A390</f>
        <v>41</v>
      </c>
      <c r="B392" s="280" t="s">
        <v>37</v>
      </c>
      <c r="C392" s="288"/>
      <c r="D392" s="74">
        <v>19.478399999999997</v>
      </c>
      <c r="E392" s="289" t="s">
        <v>61</v>
      </c>
      <c r="F392" s="277">
        <f>F372</f>
        <v>90000</v>
      </c>
      <c r="G392" s="67">
        <f t="shared" ref="G392:G410" si="134">D392*F392</f>
        <v>1753055.9999999998</v>
      </c>
      <c r="H392" s="535"/>
      <c r="I392" s="277">
        <v>68612.5</v>
      </c>
      <c r="J392" s="560">
        <f t="shared" si="131"/>
        <v>1336461.7199999997</v>
      </c>
      <c r="K392" s="560">
        <f t="shared" si="123"/>
        <v>131.17143377664419</v>
      </c>
      <c r="L392" s="528"/>
      <c r="M392" s="528"/>
    </row>
    <row r="393" spans="1:13" s="42" customFormat="1" ht="20.100000000000001" customHeight="1">
      <c r="A393" s="66">
        <f t="shared" ref="A393:A410" si="135">1+A392</f>
        <v>42</v>
      </c>
      <c r="B393" s="297" t="s">
        <v>233</v>
      </c>
      <c r="C393" s="288"/>
      <c r="D393" s="74">
        <v>76.513599999999997</v>
      </c>
      <c r="E393" s="289" t="s">
        <v>61</v>
      </c>
      <c r="F393" s="277">
        <f t="shared" ref="F393:F410" si="136">F373</f>
        <v>50000</v>
      </c>
      <c r="G393" s="67">
        <f t="shared" si="134"/>
        <v>3825680</v>
      </c>
      <c r="H393" s="535"/>
      <c r="I393" s="277">
        <v>28909.375000000004</v>
      </c>
      <c r="J393" s="560">
        <f t="shared" si="131"/>
        <v>2211960.355</v>
      </c>
      <c r="K393" s="560">
        <f t="shared" si="123"/>
        <v>172.9542752134904</v>
      </c>
      <c r="L393" s="528"/>
      <c r="M393" s="528"/>
    </row>
    <row r="394" spans="1:13" s="42" customFormat="1" ht="20.100000000000001" customHeight="1">
      <c r="A394" s="66">
        <f t="shared" si="135"/>
        <v>43</v>
      </c>
      <c r="B394" s="278" t="s">
        <v>69</v>
      </c>
      <c r="C394" s="184"/>
      <c r="D394" s="64">
        <v>17.193790000000003</v>
      </c>
      <c r="E394" s="65" t="s">
        <v>38</v>
      </c>
      <c r="F394" s="277">
        <f t="shared" si="136"/>
        <v>250000</v>
      </c>
      <c r="G394" s="67">
        <f t="shared" si="134"/>
        <v>4298447.5000000009</v>
      </c>
      <c r="H394" s="535"/>
      <c r="I394" s="277">
        <v>250318.75000000003</v>
      </c>
      <c r="J394" s="560">
        <f t="shared" si="131"/>
        <v>4303928.0205625016</v>
      </c>
      <c r="K394" s="560">
        <f t="shared" si="123"/>
        <v>99.872662355496729</v>
      </c>
      <c r="L394" s="528"/>
      <c r="M394" s="528"/>
    </row>
    <row r="395" spans="1:13" s="42" customFormat="1" ht="20.100000000000001" customHeight="1">
      <c r="A395" s="66">
        <f t="shared" si="135"/>
        <v>44</v>
      </c>
      <c r="B395" s="286" t="s">
        <v>122</v>
      </c>
      <c r="C395" s="281"/>
      <c r="D395" s="74">
        <v>3.3007999999999997</v>
      </c>
      <c r="E395" s="289" t="s">
        <v>61</v>
      </c>
      <c r="F395" s="277">
        <f t="shared" si="136"/>
        <v>350000</v>
      </c>
      <c r="G395" s="67">
        <f t="shared" si="134"/>
        <v>1155280</v>
      </c>
      <c r="H395" s="535"/>
      <c r="I395" s="277">
        <v>257207.50000000003</v>
      </c>
      <c r="J395" s="560">
        <f t="shared" si="131"/>
        <v>848990.51600000006</v>
      </c>
      <c r="K395" s="560">
        <f t="shared" si="123"/>
        <v>136.07690288969022</v>
      </c>
      <c r="L395" s="528"/>
      <c r="M395" s="528"/>
    </row>
    <row r="396" spans="1:13" s="42" customFormat="1" ht="20.100000000000001" customHeight="1">
      <c r="A396" s="66">
        <f t="shared" si="135"/>
        <v>45</v>
      </c>
      <c r="B396" s="286" t="s">
        <v>67</v>
      </c>
      <c r="C396" s="281"/>
      <c r="D396" s="74">
        <v>39.428399999999996</v>
      </c>
      <c r="E396" s="289" t="s">
        <v>65</v>
      </c>
      <c r="F396" s="277">
        <f t="shared" si="136"/>
        <v>900000</v>
      </c>
      <c r="G396" s="67">
        <f t="shared" si="134"/>
        <v>35485560</v>
      </c>
      <c r="H396" s="535"/>
      <c r="I396" s="277">
        <v>1120599.7000000002</v>
      </c>
      <c r="J396" s="560">
        <f t="shared" si="131"/>
        <v>44183453.211480007</v>
      </c>
      <c r="K396" s="560">
        <f t="shared" si="123"/>
        <v>80.314138938284557</v>
      </c>
      <c r="L396" s="528"/>
      <c r="M396" s="528"/>
    </row>
    <row r="397" spans="1:13" s="42" customFormat="1" ht="20.100000000000001" customHeight="1">
      <c r="A397" s="66">
        <f t="shared" si="135"/>
        <v>46</v>
      </c>
      <c r="B397" s="286" t="s">
        <v>64</v>
      </c>
      <c r="C397" s="281"/>
      <c r="D397" s="74">
        <v>2.4026039999999997</v>
      </c>
      <c r="E397" s="289" t="s">
        <v>65</v>
      </c>
      <c r="F397" s="277">
        <f t="shared" si="136"/>
        <v>950000</v>
      </c>
      <c r="G397" s="67">
        <f t="shared" si="134"/>
        <v>2282473.7999999998</v>
      </c>
      <c r="H397" s="535"/>
      <c r="I397" s="277">
        <v>1110010.5092592593</v>
      </c>
      <c r="J397" s="560">
        <f t="shared" si="131"/>
        <v>2666915.689588333</v>
      </c>
      <c r="K397" s="560">
        <f t="shared" si="123"/>
        <v>85.584775285953029</v>
      </c>
      <c r="L397" s="528"/>
      <c r="M397" s="528"/>
    </row>
    <row r="398" spans="1:13" s="42" customFormat="1" ht="20.100000000000001" customHeight="1">
      <c r="A398" s="66">
        <f t="shared" si="135"/>
        <v>47</v>
      </c>
      <c r="B398" s="280" t="s">
        <v>255</v>
      </c>
      <c r="C398" s="281"/>
      <c r="D398" s="74">
        <v>6.4069440000000002</v>
      </c>
      <c r="E398" s="289" t="s">
        <v>65</v>
      </c>
      <c r="F398" s="277">
        <f t="shared" si="136"/>
        <v>3500000</v>
      </c>
      <c r="G398" s="67">
        <f t="shared" si="134"/>
        <v>22424304</v>
      </c>
      <c r="H398" s="535"/>
      <c r="I398" s="277">
        <v>2448894.5462962966</v>
      </c>
      <c r="J398" s="560">
        <f t="shared" si="131"/>
        <v>15689930.22002578</v>
      </c>
      <c r="K398" s="560">
        <f t="shared" ref="K398:K461" si="137">F398/I398*100</f>
        <v>142.92162989596238</v>
      </c>
      <c r="L398" s="528"/>
      <c r="M398" s="528"/>
    </row>
    <row r="399" spans="1:13" s="42" customFormat="1" ht="20.100000000000001" customHeight="1">
      <c r="A399" s="66">
        <f t="shared" si="135"/>
        <v>48</v>
      </c>
      <c r="B399" s="280" t="s">
        <v>256</v>
      </c>
      <c r="C399" s="281"/>
      <c r="D399" s="228">
        <v>1.0110000000000001</v>
      </c>
      <c r="E399" s="289" t="s">
        <v>65</v>
      </c>
      <c r="F399" s="277">
        <f t="shared" si="136"/>
        <v>4000000</v>
      </c>
      <c r="G399" s="67">
        <f t="shared" si="134"/>
        <v>4044000.0000000005</v>
      </c>
      <c r="H399" s="535"/>
      <c r="I399" s="277">
        <v>3011394.5462962966</v>
      </c>
      <c r="J399" s="560">
        <f t="shared" si="131"/>
        <v>3044519.8863055562</v>
      </c>
      <c r="K399" s="560">
        <f t="shared" si="137"/>
        <v>132.82882526700413</v>
      </c>
      <c r="L399" s="528"/>
      <c r="M399" s="528"/>
    </row>
    <row r="400" spans="1:13" s="42" customFormat="1" ht="20.100000000000001" customHeight="1">
      <c r="A400" s="66">
        <f t="shared" si="135"/>
        <v>49</v>
      </c>
      <c r="B400" s="286" t="s">
        <v>93</v>
      </c>
      <c r="C400" s="281"/>
      <c r="D400" s="74">
        <v>17.932500000000001</v>
      </c>
      <c r="E400" s="289" t="s">
        <v>58</v>
      </c>
      <c r="F400" s="277">
        <f t="shared" si="136"/>
        <v>62000</v>
      </c>
      <c r="G400" s="67">
        <f t="shared" si="134"/>
        <v>1111815</v>
      </c>
      <c r="H400" s="535"/>
      <c r="I400" s="277">
        <v>74545.08600000001</v>
      </c>
      <c r="J400" s="560">
        <f t="shared" si="131"/>
        <v>1336779.7546950004</v>
      </c>
      <c r="K400" s="560">
        <f t="shared" si="137"/>
        <v>83.171142897333283</v>
      </c>
      <c r="L400" s="528"/>
      <c r="M400" s="528"/>
    </row>
    <row r="401" spans="1:13" s="42" customFormat="1" ht="20.100000000000001" customHeight="1">
      <c r="A401" s="66">
        <f t="shared" si="135"/>
        <v>50</v>
      </c>
      <c r="B401" s="272" t="s">
        <v>116</v>
      </c>
      <c r="C401" s="273"/>
      <c r="D401" s="274">
        <v>71.867000000000004</v>
      </c>
      <c r="E401" s="45" t="s">
        <v>40</v>
      </c>
      <c r="F401" s="277">
        <f t="shared" si="136"/>
        <v>60000</v>
      </c>
      <c r="G401" s="292">
        <f t="shared" si="134"/>
        <v>4312020</v>
      </c>
      <c r="H401" s="535"/>
      <c r="I401" s="277">
        <v>111088.2828</v>
      </c>
      <c r="J401" s="560">
        <f t="shared" si="131"/>
        <v>7983581.6199876005</v>
      </c>
      <c r="K401" s="576">
        <f t="shared" si="137"/>
        <v>54.011096839098862</v>
      </c>
      <c r="L401" s="528"/>
      <c r="M401" s="528"/>
    </row>
    <row r="402" spans="1:13" s="42" customFormat="1" ht="20.100000000000001" customHeight="1">
      <c r="A402" s="66">
        <f t="shared" si="135"/>
        <v>51</v>
      </c>
      <c r="B402" s="280" t="s">
        <v>128</v>
      </c>
      <c r="C402" s="281"/>
      <c r="D402" s="74">
        <v>71.867000000000004</v>
      </c>
      <c r="E402" s="289" t="s">
        <v>78</v>
      </c>
      <c r="F402" s="277">
        <f t="shared" si="136"/>
        <v>40000</v>
      </c>
      <c r="G402" s="292">
        <f t="shared" si="134"/>
        <v>2874680</v>
      </c>
      <c r="H402" s="535"/>
      <c r="I402" s="277">
        <v>45665.675000000003</v>
      </c>
      <c r="J402" s="560">
        <f t="shared" si="131"/>
        <v>3281855.0652250005</v>
      </c>
      <c r="K402" s="560">
        <f t="shared" si="137"/>
        <v>87.5931429897839</v>
      </c>
      <c r="L402" s="528"/>
      <c r="M402" s="528"/>
    </row>
    <row r="403" spans="1:13" s="42" customFormat="1" ht="20.100000000000001" customHeight="1">
      <c r="A403" s="66">
        <f t="shared" si="135"/>
        <v>52</v>
      </c>
      <c r="B403" s="286" t="s">
        <v>150</v>
      </c>
      <c r="C403" s="281"/>
      <c r="D403" s="74">
        <v>6.7080000000000002</v>
      </c>
      <c r="E403" s="81" t="s">
        <v>40</v>
      </c>
      <c r="F403" s="277">
        <f t="shared" si="136"/>
        <v>40000</v>
      </c>
      <c r="G403" s="67">
        <f t="shared" si="134"/>
        <v>268320</v>
      </c>
      <c r="H403" s="535"/>
      <c r="I403" s="277">
        <v>45665.675000000003</v>
      </c>
      <c r="J403" s="560">
        <f t="shared" si="131"/>
        <v>306325.34790000005</v>
      </c>
      <c r="K403" s="560">
        <f t="shared" si="137"/>
        <v>87.5931429897839</v>
      </c>
      <c r="L403" s="528"/>
      <c r="M403" s="528"/>
    </row>
    <row r="404" spans="1:13" s="42" customFormat="1" ht="20.100000000000001" customHeight="1">
      <c r="A404" s="66">
        <f t="shared" si="135"/>
        <v>53</v>
      </c>
      <c r="B404" s="286" t="s">
        <v>149</v>
      </c>
      <c r="C404" s="281"/>
      <c r="D404" s="282">
        <v>25.2</v>
      </c>
      <c r="E404" s="81" t="s">
        <v>40</v>
      </c>
      <c r="F404" s="277">
        <f t="shared" si="136"/>
        <v>40000</v>
      </c>
      <c r="G404" s="67">
        <f t="shared" si="134"/>
        <v>1008000</v>
      </c>
      <c r="H404" s="535"/>
      <c r="I404" s="277">
        <v>45665.675000000003</v>
      </c>
      <c r="J404" s="560">
        <f t="shared" si="131"/>
        <v>1150775.01</v>
      </c>
      <c r="K404" s="560">
        <f t="shared" si="137"/>
        <v>87.5931429897839</v>
      </c>
      <c r="L404" s="528"/>
      <c r="M404" s="528"/>
    </row>
    <row r="405" spans="1:13" s="42" customFormat="1" ht="20.100000000000001" customHeight="1">
      <c r="A405" s="66">
        <f t="shared" si="135"/>
        <v>54</v>
      </c>
      <c r="B405" s="272" t="s">
        <v>262</v>
      </c>
      <c r="C405" s="273"/>
      <c r="D405" s="274">
        <v>58.14</v>
      </c>
      <c r="E405" s="45" t="s">
        <v>40</v>
      </c>
      <c r="F405" s="277">
        <f t="shared" si="136"/>
        <v>80000</v>
      </c>
      <c r="G405" s="292">
        <f t="shared" si="134"/>
        <v>4651200</v>
      </c>
      <c r="H405" s="535"/>
      <c r="I405" s="277">
        <v>151786.67420000001</v>
      </c>
      <c r="J405" s="560">
        <f t="shared" si="131"/>
        <v>8824877.2379880007</v>
      </c>
      <c r="K405" s="576">
        <f t="shared" si="137"/>
        <v>52.705549035608293</v>
      </c>
      <c r="L405" s="528"/>
      <c r="M405" s="528"/>
    </row>
    <row r="406" spans="1:13" s="42" customFormat="1" ht="20.100000000000001" customHeight="1">
      <c r="A406" s="66">
        <f t="shared" si="135"/>
        <v>55</v>
      </c>
      <c r="B406" s="286" t="s">
        <v>258</v>
      </c>
      <c r="C406" s="281"/>
      <c r="D406" s="274">
        <v>46.620000000000005</v>
      </c>
      <c r="E406" s="81" t="s">
        <v>40</v>
      </c>
      <c r="F406" s="277">
        <f t="shared" si="136"/>
        <v>40000</v>
      </c>
      <c r="G406" s="67">
        <f t="shared" si="134"/>
        <v>1864800.0000000002</v>
      </c>
      <c r="H406" s="535"/>
      <c r="I406" s="277">
        <v>45665.675000000003</v>
      </c>
      <c r="J406" s="560">
        <f t="shared" si="131"/>
        <v>2128933.7685000002</v>
      </c>
      <c r="K406" s="560">
        <f t="shared" si="137"/>
        <v>87.5931429897839</v>
      </c>
      <c r="L406" s="528"/>
      <c r="M406" s="528"/>
    </row>
    <row r="407" spans="1:13" s="42" customFormat="1" ht="20.100000000000001" customHeight="1">
      <c r="A407" s="66">
        <f t="shared" si="135"/>
        <v>56</v>
      </c>
      <c r="B407" s="286" t="s">
        <v>259</v>
      </c>
      <c r="C407" s="281"/>
      <c r="D407" s="274">
        <v>11.52</v>
      </c>
      <c r="E407" s="81" t="s">
        <v>40</v>
      </c>
      <c r="F407" s="277">
        <f t="shared" si="136"/>
        <v>50000</v>
      </c>
      <c r="G407" s="67">
        <f t="shared" si="134"/>
        <v>576000</v>
      </c>
      <c r="H407" s="535"/>
      <c r="I407" s="277">
        <v>62240.750000000007</v>
      </c>
      <c r="J407" s="560">
        <f t="shared" si="131"/>
        <v>717013.44000000006</v>
      </c>
      <c r="K407" s="560">
        <f t="shared" si="137"/>
        <v>80.333222205709276</v>
      </c>
      <c r="L407" s="528"/>
      <c r="M407" s="528"/>
    </row>
    <row r="408" spans="1:13" s="42" customFormat="1" ht="20.100000000000001" customHeight="1">
      <c r="A408" s="66">
        <f t="shared" si="135"/>
        <v>57</v>
      </c>
      <c r="B408" s="286" t="s">
        <v>260</v>
      </c>
      <c r="C408" s="281"/>
      <c r="D408" s="74">
        <v>68.97</v>
      </c>
      <c r="E408" s="81" t="s">
        <v>52</v>
      </c>
      <c r="F408" s="277">
        <f t="shared" si="136"/>
        <v>50000</v>
      </c>
      <c r="G408" s="67">
        <f t="shared" si="134"/>
        <v>3448500</v>
      </c>
      <c r="H408" s="535"/>
      <c r="I408" s="277">
        <v>57000</v>
      </c>
      <c r="J408" s="560">
        <f t="shared" si="131"/>
        <v>3931290</v>
      </c>
      <c r="K408" s="560">
        <f t="shared" si="137"/>
        <v>87.719298245614027</v>
      </c>
      <c r="L408" s="528"/>
      <c r="M408" s="528"/>
    </row>
    <row r="409" spans="1:13" s="42" customFormat="1" ht="20.100000000000001" customHeight="1">
      <c r="A409" s="66">
        <f t="shared" si="135"/>
        <v>58</v>
      </c>
      <c r="B409" s="286" t="s">
        <v>146</v>
      </c>
      <c r="C409" s="281"/>
      <c r="D409" s="74">
        <v>5.2202999999999999</v>
      </c>
      <c r="E409" s="81" t="s">
        <v>40</v>
      </c>
      <c r="F409" s="277">
        <f t="shared" si="136"/>
        <v>300000</v>
      </c>
      <c r="G409" s="67">
        <f t="shared" si="134"/>
        <v>1566090</v>
      </c>
      <c r="H409" s="535"/>
      <c r="I409" s="277">
        <v>216641.42500000002</v>
      </c>
      <c r="J409" s="560">
        <f t="shared" si="131"/>
        <v>1130933.2309275002</v>
      </c>
      <c r="K409" s="560">
        <f t="shared" si="137"/>
        <v>138.47767111022279</v>
      </c>
      <c r="L409" s="528"/>
      <c r="M409" s="528"/>
    </row>
    <row r="410" spans="1:13" s="42" customFormat="1" ht="20.100000000000001" customHeight="1">
      <c r="A410" s="66">
        <f t="shared" si="135"/>
        <v>59</v>
      </c>
      <c r="B410" s="286" t="s">
        <v>147</v>
      </c>
      <c r="C410" s="281"/>
      <c r="D410" s="74">
        <v>91.851100000000002</v>
      </c>
      <c r="E410" s="81" t="s">
        <v>40</v>
      </c>
      <c r="F410" s="277">
        <f t="shared" si="136"/>
        <v>161000</v>
      </c>
      <c r="G410" s="67">
        <f t="shared" si="134"/>
        <v>14788027.1</v>
      </c>
      <c r="H410" s="535"/>
      <c r="I410" s="277">
        <v>166919.5</v>
      </c>
      <c r="J410" s="560">
        <f t="shared" si="131"/>
        <v>15331739.686450001</v>
      </c>
      <c r="K410" s="560">
        <f t="shared" si="137"/>
        <v>96.453679767792252</v>
      </c>
      <c r="L410" s="528"/>
      <c r="M410" s="528"/>
    </row>
    <row r="411" spans="1:13" s="42" customFormat="1" ht="20.100000000000001" customHeight="1">
      <c r="A411" s="148"/>
      <c r="B411" s="190"/>
      <c r="C411" s="190"/>
      <c r="D411" s="160"/>
      <c r="E411" s="161"/>
      <c r="F411" s="162"/>
      <c r="G411" s="163"/>
      <c r="H411" s="535"/>
      <c r="I411" s="548"/>
      <c r="J411" s="567"/>
      <c r="K411" s="560"/>
      <c r="L411" s="528"/>
      <c r="M411" s="528"/>
    </row>
    <row r="412" spans="1:13" s="42" customFormat="1" ht="20.100000000000001" customHeight="1">
      <c r="A412" s="69" t="s">
        <v>266</v>
      </c>
      <c r="B412" s="185" t="s">
        <v>90</v>
      </c>
      <c r="C412" s="186"/>
      <c r="D412" s="70"/>
      <c r="E412" s="71"/>
      <c r="F412" s="72"/>
      <c r="G412" s="73">
        <f>SUM(G414:G443)</f>
        <v>474796371</v>
      </c>
      <c r="H412" s="535"/>
      <c r="I412" s="549"/>
      <c r="J412" s="570"/>
      <c r="K412" s="560"/>
      <c r="L412" s="528"/>
      <c r="M412" s="528"/>
    </row>
    <row r="413" spans="1:13" s="42" customFormat="1" ht="20.100000000000001" customHeight="1">
      <c r="A413" s="90"/>
      <c r="B413" s="206" t="s">
        <v>304</v>
      </c>
      <c r="C413" s="192"/>
      <c r="D413" s="92"/>
      <c r="E413" s="93"/>
      <c r="F413" s="91"/>
      <c r="G413" s="47"/>
      <c r="H413" s="535"/>
      <c r="I413" s="552"/>
      <c r="J413" s="571"/>
      <c r="K413" s="560"/>
      <c r="L413" s="528"/>
      <c r="M413" s="528"/>
    </row>
    <row r="414" spans="1:13" s="42" customFormat="1" ht="20.100000000000001" customHeight="1">
      <c r="A414" s="285">
        <v>1</v>
      </c>
      <c r="B414" s="280" t="s">
        <v>37</v>
      </c>
      <c r="C414" s="288"/>
      <c r="D414" s="282">
        <v>10.199999999999998</v>
      </c>
      <c r="E414" s="81" t="s">
        <v>38</v>
      </c>
      <c r="F414" s="283">
        <f>F392</f>
        <v>90000</v>
      </c>
      <c r="G414" s="67">
        <f t="shared" ref="G414:G443" si="138">D414*F414</f>
        <v>917999.99999999977</v>
      </c>
      <c r="H414" s="535"/>
      <c r="I414" s="541">
        <v>68612.5</v>
      </c>
      <c r="J414" s="560">
        <f t="shared" ref="J414:J443" si="139">D414*I414</f>
        <v>699847.49999999988</v>
      </c>
      <c r="K414" s="560">
        <f t="shared" si="137"/>
        <v>131.17143377664419</v>
      </c>
      <c r="L414" s="528"/>
      <c r="M414" s="528"/>
    </row>
    <row r="415" spans="1:13" s="42" customFormat="1" ht="20.100000000000001" customHeight="1">
      <c r="A415" s="285">
        <f>A414+1</f>
        <v>2</v>
      </c>
      <c r="B415" s="280" t="s">
        <v>77</v>
      </c>
      <c r="C415" s="288"/>
      <c r="D415" s="282">
        <v>8</v>
      </c>
      <c r="E415" s="81" t="s">
        <v>38</v>
      </c>
      <c r="F415" s="283">
        <f>F323</f>
        <v>50000</v>
      </c>
      <c r="G415" s="67">
        <f t="shared" si="138"/>
        <v>400000</v>
      </c>
      <c r="H415" s="535"/>
      <c r="I415" s="541">
        <v>22870.833333333332</v>
      </c>
      <c r="J415" s="560">
        <f t="shared" si="139"/>
        <v>182966.66666666666</v>
      </c>
      <c r="K415" s="560">
        <f t="shared" si="137"/>
        <v>218.61905629440699</v>
      </c>
      <c r="L415" s="528"/>
      <c r="M415" s="528"/>
    </row>
    <row r="416" spans="1:13" s="42" customFormat="1" ht="20.100000000000001" customHeight="1">
      <c r="A416" s="285">
        <f t="shared" ref="A416:A425" si="140">A415+1</f>
        <v>3</v>
      </c>
      <c r="B416" s="297" t="s">
        <v>233</v>
      </c>
      <c r="C416" s="288"/>
      <c r="D416" s="282">
        <v>5.120000000000001</v>
      </c>
      <c r="E416" s="81" t="s">
        <v>38</v>
      </c>
      <c r="F416" s="283">
        <f>F393</f>
        <v>50000</v>
      </c>
      <c r="G416" s="67">
        <f t="shared" si="138"/>
        <v>256000.00000000006</v>
      </c>
      <c r="H416" s="535"/>
      <c r="I416" s="541">
        <v>28909.375000000004</v>
      </c>
      <c r="J416" s="560">
        <f t="shared" si="139"/>
        <v>148016.00000000006</v>
      </c>
      <c r="K416" s="560">
        <f t="shared" si="137"/>
        <v>172.9542752134904</v>
      </c>
      <c r="L416" s="528"/>
      <c r="M416" s="528"/>
    </row>
    <row r="417" spans="1:13" s="42" customFormat="1" ht="20.100000000000001" customHeight="1">
      <c r="A417" s="285">
        <f t="shared" si="140"/>
        <v>4</v>
      </c>
      <c r="B417" s="286" t="s">
        <v>62</v>
      </c>
      <c r="C417" s="281"/>
      <c r="D417" s="282">
        <v>6.8149999999999995</v>
      </c>
      <c r="E417" s="81" t="s">
        <v>38</v>
      </c>
      <c r="F417" s="283">
        <f>F395</f>
        <v>350000</v>
      </c>
      <c r="G417" s="67">
        <f t="shared" si="138"/>
        <v>2385250</v>
      </c>
      <c r="H417" s="535"/>
      <c r="I417" s="541">
        <v>257207.50000000003</v>
      </c>
      <c r="J417" s="560">
        <f t="shared" si="139"/>
        <v>1752869.1125</v>
      </c>
      <c r="K417" s="560">
        <f t="shared" si="137"/>
        <v>136.07690288969022</v>
      </c>
      <c r="L417" s="528"/>
      <c r="M417" s="528"/>
    </row>
    <row r="418" spans="1:13" s="42" customFormat="1" ht="20.100000000000001" customHeight="1">
      <c r="A418" s="285">
        <f t="shared" si="140"/>
        <v>5</v>
      </c>
      <c r="B418" s="286" t="s">
        <v>64</v>
      </c>
      <c r="C418" s="281"/>
      <c r="D418" s="282">
        <v>4.7424999999999997</v>
      </c>
      <c r="E418" s="81" t="s">
        <v>70</v>
      </c>
      <c r="F418" s="283">
        <f>F397</f>
        <v>950000</v>
      </c>
      <c r="G418" s="67">
        <f t="shared" si="138"/>
        <v>4505375</v>
      </c>
      <c r="H418" s="536"/>
      <c r="I418" s="541">
        <v>1110010.5092592593</v>
      </c>
      <c r="J418" s="560">
        <f t="shared" si="139"/>
        <v>5264224.8401620369</v>
      </c>
      <c r="K418" s="560">
        <f t="shared" si="137"/>
        <v>85.584775285953029</v>
      </c>
      <c r="L418" s="528"/>
      <c r="M418" s="528"/>
    </row>
    <row r="419" spans="1:13" s="42" customFormat="1" ht="20.100000000000001" customHeight="1">
      <c r="A419" s="285">
        <f t="shared" si="140"/>
        <v>6</v>
      </c>
      <c r="B419" s="280" t="s">
        <v>91</v>
      </c>
      <c r="C419" s="281"/>
      <c r="D419" s="228">
        <v>7.2040000000000006</v>
      </c>
      <c r="E419" s="81" t="s">
        <v>70</v>
      </c>
      <c r="F419" s="283">
        <f>F399</f>
        <v>4000000</v>
      </c>
      <c r="G419" s="67">
        <f t="shared" si="138"/>
        <v>28816000.000000004</v>
      </c>
      <c r="H419" s="536"/>
      <c r="I419" s="541">
        <v>2448894.5462962966</v>
      </c>
      <c r="J419" s="560">
        <f t="shared" si="139"/>
        <v>17641836.311518524</v>
      </c>
      <c r="K419" s="560">
        <f t="shared" si="137"/>
        <v>163.33900559538557</v>
      </c>
      <c r="L419" s="528"/>
      <c r="M419" s="528"/>
    </row>
    <row r="420" spans="1:13" s="42" customFormat="1" ht="20.100000000000001" customHeight="1">
      <c r="A420" s="285">
        <f t="shared" si="140"/>
        <v>7</v>
      </c>
      <c r="B420" s="280" t="s">
        <v>284</v>
      </c>
      <c r="C420" s="281"/>
      <c r="D420" s="228">
        <v>7.0699999999999994</v>
      </c>
      <c r="E420" s="81" t="s">
        <v>70</v>
      </c>
      <c r="F420" s="283">
        <f>F419</f>
        <v>4000000</v>
      </c>
      <c r="G420" s="67">
        <f t="shared" si="138"/>
        <v>28279999.999999996</v>
      </c>
      <c r="H420" s="535"/>
      <c r="I420" s="541">
        <v>4433477.0833333349</v>
      </c>
      <c r="J420" s="560">
        <f t="shared" si="139"/>
        <v>31344682.979166675</v>
      </c>
      <c r="K420" s="560">
        <f t="shared" si="137"/>
        <v>90.222638457681555</v>
      </c>
      <c r="L420" s="528"/>
      <c r="M420" s="528"/>
    </row>
    <row r="421" spans="1:13" s="42" customFormat="1" ht="20.100000000000001" customHeight="1">
      <c r="A421" s="285">
        <f t="shared" si="140"/>
        <v>8</v>
      </c>
      <c r="B421" s="280" t="s">
        <v>286</v>
      </c>
      <c r="C421" s="281"/>
      <c r="D421" s="228">
        <v>2.3159999999999998</v>
      </c>
      <c r="E421" s="81" t="s">
        <v>70</v>
      </c>
      <c r="F421" s="283">
        <f>F173</f>
        <v>5500000</v>
      </c>
      <c r="G421" s="67">
        <f t="shared" si="138"/>
        <v>12738000</v>
      </c>
      <c r="H421" s="535"/>
      <c r="I421" s="541">
        <v>4433477.0833333349</v>
      </c>
      <c r="J421" s="560">
        <f t="shared" si="139"/>
        <v>10267932.925000003</v>
      </c>
      <c r="K421" s="560">
        <f t="shared" si="137"/>
        <v>124.05612787931216</v>
      </c>
      <c r="L421" s="528"/>
      <c r="M421" s="528"/>
    </row>
    <row r="422" spans="1:13" s="42" customFormat="1" ht="20.100000000000001" customHeight="1">
      <c r="A422" s="285">
        <f t="shared" si="140"/>
        <v>9</v>
      </c>
      <c r="B422" s="280" t="s">
        <v>285</v>
      </c>
      <c r="C422" s="281"/>
      <c r="D422" s="228">
        <v>2.4000000000000004</v>
      </c>
      <c r="E422" s="81" t="s">
        <v>70</v>
      </c>
      <c r="F422" s="283">
        <f t="shared" ref="F422:F423" si="141">F174</f>
        <v>5500000</v>
      </c>
      <c r="G422" s="67">
        <f t="shared" ref="G422:G423" si="142">D422*F422</f>
        <v>13200000.000000002</v>
      </c>
      <c r="H422" s="535"/>
      <c r="I422" s="541">
        <v>6983399.8048192775</v>
      </c>
      <c r="J422" s="560">
        <f t="shared" si="139"/>
        <v>16760159.531566268</v>
      </c>
      <c r="K422" s="560">
        <f t="shared" si="137"/>
        <v>78.758200213661311</v>
      </c>
      <c r="L422" s="528"/>
      <c r="M422" s="528"/>
    </row>
    <row r="423" spans="1:13" s="42" customFormat="1" ht="20.100000000000001" customHeight="1">
      <c r="A423" s="285">
        <f t="shared" si="140"/>
        <v>10</v>
      </c>
      <c r="B423" s="280" t="s">
        <v>287</v>
      </c>
      <c r="C423" s="281"/>
      <c r="D423" s="228">
        <v>3.4739999999999998</v>
      </c>
      <c r="E423" s="81" t="s">
        <v>70</v>
      </c>
      <c r="F423" s="283">
        <f t="shared" si="141"/>
        <v>6000000</v>
      </c>
      <c r="G423" s="67">
        <f t="shared" si="142"/>
        <v>20844000</v>
      </c>
      <c r="H423" s="535"/>
      <c r="I423" s="541">
        <v>5234053.0993975913</v>
      </c>
      <c r="J423" s="560">
        <f t="shared" si="139"/>
        <v>18183100.467307232</v>
      </c>
      <c r="K423" s="560">
        <f t="shared" si="137"/>
        <v>114.63391536265777</v>
      </c>
      <c r="L423" s="528"/>
      <c r="M423" s="528"/>
    </row>
    <row r="424" spans="1:13" s="42" customFormat="1" ht="20.100000000000001" customHeight="1">
      <c r="A424" s="285">
        <f t="shared" si="140"/>
        <v>11</v>
      </c>
      <c r="B424" s="280" t="s">
        <v>115</v>
      </c>
      <c r="C424" s="281"/>
      <c r="D424" s="228">
        <v>3.7452000000000001</v>
      </c>
      <c r="E424" s="81" t="s">
        <v>70</v>
      </c>
      <c r="F424" s="283">
        <f>F423</f>
        <v>6000000</v>
      </c>
      <c r="G424" s="67">
        <f t="shared" si="138"/>
        <v>22471200</v>
      </c>
      <c r="H424" s="535"/>
      <c r="I424" s="541">
        <v>4161394.5462962966</v>
      </c>
      <c r="J424" s="560">
        <f t="shared" si="139"/>
        <v>15585254.85478889</v>
      </c>
      <c r="K424" s="560">
        <f t="shared" si="137"/>
        <v>144.18243531702828</v>
      </c>
      <c r="L424" s="528"/>
      <c r="M424" s="528"/>
    </row>
    <row r="425" spans="1:13" s="42" customFormat="1" ht="20.100000000000001" customHeight="1">
      <c r="A425" s="285">
        <f t="shared" si="140"/>
        <v>12</v>
      </c>
      <c r="B425" s="286" t="s">
        <v>67</v>
      </c>
      <c r="C425" s="281"/>
      <c r="D425" s="282">
        <v>11.657999999999999</v>
      </c>
      <c r="E425" s="81" t="s">
        <v>70</v>
      </c>
      <c r="F425" s="283">
        <f>F396</f>
        <v>900000</v>
      </c>
      <c r="G425" s="67">
        <f t="shared" si="138"/>
        <v>10492200</v>
      </c>
      <c r="H425" s="535"/>
      <c r="I425" s="541">
        <v>1120599.7000000002</v>
      </c>
      <c r="J425" s="560">
        <f t="shared" si="139"/>
        <v>13063951.302600002</v>
      </c>
      <c r="K425" s="560">
        <f t="shared" si="137"/>
        <v>80.314138938284557</v>
      </c>
      <c r="L425" s="528"/>
      <c r="M425" s="528"/>
    </row>
    <row r="426" spans="1:13" s="42" customFormat="1" ht="20.100000000000001" customHeight="1">
      <c r="A426" s="207">
        <f>A425+1</f>
        <v>13</v>
      </c>
      <c r="B426" s="298" t="s">
        <v>297</v>
      </c>
      <c r="C426" s="299"/>
      <c r="D426" s="300">
        <v>2019.6</v>
      </c>
      <c r="E426" s="301" t="s">
        <v>1</v>
      </c>
      <c r="F426" s="302">
        <v>32000</v>
      </c>
      <c r="G426" s="67">
        <f t="shared" si="138"/>
        <v>64627200</v>
      </c>
      <c r="H426" s="535"/>
      <c r="I426" s="541">
        <v>36184.5</v>
      </c>
      <c r="J426" s="560">
        <f t="shared" si="139"/>
        <v>73078216.200000003</v>
      </c>
      <c r="K426" s="560">
        <f t="shared" si="137"/>
        <v>88.435656151114429</v>
      </c>
      <c r="L426" s="528"/>
      <c r="M426" s="528"/>
    </row>
    <row r="427" spans="1:13" s="42" customFormat="1" ht="20.100000000000001" customHeight="1">
      <c r="A427" s="207">
        <f>A426+1</f>
        <v>14</v>
      </c>
      <c r="B427" s="298" t="s">
        <v>298</v>
      </c>
      <c r="C427" s="299"/>
      <c r="D427" s="300">
        <v>328.40000000000003</v>
      </c>
      <c r="E427" s="81" t="s">
        <v>52</v>
      </c>
      <c r="F427" s="302">
        <f>(400000/6)*1.5</f>
        <v>100000</v>
      </c>
      <c r="G427" s="67">
        <f t="shared" si="138"/>
        <v>32840000.000000004</v>
      </c>
      <c r="H427" s="535"/>
      <c r="I427" s="541">
        <v>135581.16666666669</v>
      </c>
      <c r="J427" s="560">
        <f t="shared" si="139"/>
        <v>44524855.133333348</v>
      </c>
      <c r="K427" s="560">
        <f t="shared" si="137"/>
        <v>73.756556650567234</v>
      </c>
      <c r="L427" s="528"/>
      <c r="M427" s="528"/>
    </row>
    <row r="428" spans="1:13" s="42" customFormat="1" ht="20.100000000000001" customHeight="1">
      <c r="A428" s="207">
        <f t="shared" ref="A428:A443" si="143">A427+1</f>
        <v>15</v>
      </c>
      <c r="B428" s="298" t="s">
        <v>299</v>
      </c>
      <c r="C428" s="299"/>
      <c r="D428" s="300">
        <v>400.19999999999993</v>
      </c>
      <c r="E428" s="81" t="s">
        <v>52</v>
      </c>
      <c r="F428" s="302">
        <f>(250000/6)*1.5</f>
        <v>62500</v>
      </c>
      <c r="G428" s="67">
        <f t="shared" si="138"/>
        <v>25012499.999999996</v>
      </c>
      <c r="H428" s="535"/>
      <c r="I428" s="541">
        <v>116064.50000000003</v>
      </c>
      <c r="J428" s="560">
        <f t="shared" si="139"/>
        <v>46449012.900000006</v>
      </c>
      <c r="K428" s="576">
        <f t="shared" si="137"/>
        <v>53.849368239211806</v>
      </c>
      <c r="L428" s="528"/>
      <c r="M428" s="528"/>
    </row>
    <row r="429" spans="1:13" s="42" customFormat="1" ht="20.100000000000001" customHeight="1">
      <c r="A429" s="207">
        <f t="shared" ref="A429" si="144">A428+1</f>
        <v>16</v>
      </c>
      <c r="B429" s="298" t="s">
        <v>300</v>
      </c>
      <c r="C429" s="299"/>
      <c r="D429" s="300">
        <v>766.19999999999993</v>
      </c>
      <c r="E429" s="81" t="s">
        <v>52</v>
      </c>
      <c r="F429" s="302">
        <v>40000</v>
      </c>
      <c r="G429" s="67">
        <f t="shared" si="138"/>
        <v>30647999.999999996</v>
      </c>
      <c r="H429" s="535"/>
      <c r="I429" s="541">
        <v>81721.166666666672</v>
      </c>
      <c r="J429" s="560">
        <f t="shared" si="139"/>
        <v>62614757.899999999</v>
      </c>
      <c r="K429" s="576">
        <f t="shared" si="137"/>
        <v>48.946927254668822</v>
      </c>
      <c r="L429" s="528"/>
      <c r="M429" s="528"/>
    </row>
    <row r="430" spans="1:13" s="42" customFormat="1" ht="20.100000000000001" customHeight="1">
      <c r="A430" s="207">
        <f>A429+1</f>
        <v>17</v>
      </c>
      <c r="B430" s="298" t="s">
        <v>293</v>
      </c>
      <c r="C430" s="299"/>
      <c r="D430" s="300">
        <v>363.52799999999996</v>
      </c>
      <c r="E430" s="301" t="s">
        <v>1</v>
      </c>
      <c r="F430" s="302">
        <f>F426</f>
        <v>32000</v>
      </c>
      <c r="G430" s="67">
        <f t="shared" si="138"/>
        <v>11632895.999999998</v>
      </c>
      <c r="H430" s="535"/>
      <c r="I430" s="541">
        <v>36184.5</v>
      </c>
      <c r="J430" s="560">
        <f t="shared" si="139"/>
        <v>13154078.915999999</v>
      </c>
      <c r="K430" s="560">
        <f t="shared" si="137"/>
        <v>88.435656151114429</v>
      </c>
      <c r="L430" s="528"/>
      <c r="M430" s="528"/>
    </row>
    <row r="431" spans="1:13" s="42" customFormat="1" ht="20.100000000000001" customHeight="1">
      <c r="A431" s="207">
        <f t="shared" ref="A431:A432" si="145">A430+1</f>
        <v>18</v>
      </c>
      <c r="B431" s="298" t="s">
        <v>301</v>
      </c>
      <c r="C431" s="299"/>
      <c r="D431" s="300">
        <v>225</v>
      </c>
      <c r="E431" s="81" t="s">
        <v>40</v>
      </c>
      <c r="F431" s="302">
        <f>(14000*14)+35000</f>
        <v>231000</v>
      </c>
      <c r="G431" s="67">
        <f t="shared" si="138"/>
        <v>51975000</v>
      </c>
      <c r="H431" s="535"/>
      <c r="I431" s="541">
        <v>196226.25000000003</v>
      </c>
      <c r="J431" s="560">
        <f t="shared" si="139"/>
        <v>44150906.250000007</v>
      </c>
      <c r="K431" s="560">
        <f t="shared" si="137"/>
        <v>117.72125289047717</v>
      </c>
      <c r="L431" s="528"/>
      <c r="M431" s="528"/>
    </row>
    <row r="432" spans="1:13" s="42" customFormat="1" ht="20.100000000000001" customHeight="1">
      <c r="A432" s="207">
        <f t="shared" si="145"/>
        <v>19</v>
      </c>
      <c r="B432" s="298" t="s">
        <v>294</v>
      </c>
      <c r="C432" s="299"/>
      <c r="D432" s="300">
        <v>90</v>
      </c>
      <c r="E432" s="81" t="s">
        <v>52</v>
      </c>
      <c r="F432" s="302">
        <v>250000</v>
      </c>
      <c r="G432" s="67">
        <f t="shared" si="138"/>
        <v>22500000</v>
      </c>
      <c r="H432" s="535"/>
      <c r="I432" s="541">
        <v>204946.50000000003</v>
      </c>
      <c r="J432" s="560">
        <f t="shared" si="139"/>
        <v>18445185.000000004</v>
      </c>
      <c r="K432" s="560">
        <f t="shared" si="137"/>
        <v>121.98305411412245</v>
      </c>
      <c r="L432" s="528"/>
      <c r="M432" s="528"/>
    </row>
    <row r="433" spans="1:13" s="42" customFormat="1" ht="20.100000000000001" customHeight="1">
      <c r="A433" s="207">
        <f>A432+1</f>
        <v>20</v>
      </c>
      <c r="B433" s="298" t="s">
        <v>302</v>
      </c>
      <c r="C433" s="299"/>
      <c r="D433" s="300">
        <v>5</v>
      </c>
      <c r="E433" s="301" t="s">
        <v>2</v>
      </c>
      <c r="F433" s="302">
        <v>125000</v>
      </c>
      <c r="G433" s="67">
        <f t="shared" si="138"/>
        <v>625000</v>
      </c>
      <c r="H433" s="535"/>
      <c r="I433" s="541">
        <v>415000</v>
      </c>
      <c r="J433" s="560">
        <f t="shared" si="139"/>
        <v>2075000</v>
      </c>
      <c r="K433" s="576">
        <f t="shared" si="137"/>
        <v>30.120481927710845</v>
      </c>
      <c r="L433" s="528"/>
      <c r="M433" s="528"/>
    </row>
    <row r="434" spans="1:13" s="42" customFormat="1" ht="20.100000000000001" customHeight="1">
      <c r="A434" s="207">
        <f>A432+1</f>
        <v>20</v>
      </c>
      <c r="B434" s="298" t="s">
        <v>295</v>
      </c>
      <c r="C434" s="299"/>
      <c r="D434" s="300">
        <v>90</v>
      </c>
      <c r="E434" s="81" t="s">
        <v>52</v>
      </c>
      <c r="F434" s="302">
        <v>100000</v>
      </c>
      <c r="G434" s="67">
        <f t="shared" si="138"/>
        <v>9000000</v>
      </c>
      <c r="H434" s="535"/>
      <c r="I434" s="541">
        <v>76000</v>
      </c>
      <c r="J434" s="560">
        <f t="shared" si="139"/>
        <v>6840000</v>
      </c>
      <c r="K434" s="560">
        <f t="shared" si="137"/>
        <v>131.57894736842107</v>
      </c>
      <c r="L434" s="528"/>
      <c r="M434" s="528"/>
    </row>
    <row r="435" spans="1:13" s="42" customFormat="1" ht="20.100000000000001" customHeight="1">
      <c r="A435" s="207">
        <f t="shared" si="143"/>
        <v>21</v>
      </c>
      <c r="B435" s="298" t="s">
        <v>303</v>
      </c>
      <c r="C435" s="299"/>
      <c r="D435" s="300">
        <v>114</v>
      </c>
      <c r="E435" s="81" t="s">
        <v>52</v>
      </c>
      <c r="F435" s="302">
        <v>75000</v>
      </c>
      <c r="G435" s="199">
        <f>D435*F435</f>
        <v>8550000</v>
      </c>
      <c r="H435" s="535"/>
      <c r="I435" s="541">
        <v>70092</v>
      </c>
      <c r="J435" s="560">
        <f t="shared" si="139"/>
        <v>7990488</v>
      </c>
      <c r="K435" s="560">
        <f t="shared" si="137"/>
        <v>107.00222564629345</v>
      </c>
      <c r="L435" s="528"/>
      <c r="M435" s="528"/>
    </row>
    <row r="436" spans="1:13" s="42" customFormat="1" ht="20.100000000000001" customHeight="1">
      <c r="A436" s="207">
        <f t="shared" si="143"/>
        <v>22</v>
      </c>
      <c r="B436" s="298" t="s">
        <v>296</v>
      </c>
      <c r="C436" s="299"/>
      <c r="D436" s="300">
        <v>1.7999999999999999E-2</v>
      </c>
      <c r="E436" s="81" t="s">
        <v>52</v>
      </c>
      <c r="F436" s="302">
        <v>200000</v>
      </c>
      <c r="G436" s="199">
        <f>D436*F436</f>
        <v>3599.9999999999995</v>
      </c>
      <c r="H436" s="535"/>
      <c r="I436" s="541">
        <v>7600000</v>
      </c>
      <c r="J436" s="560">
        <f t="shared" si="139"/>
        <v>136800</v>
      </c>
      <c r="K436" s="576">
        <f t="shared" si="137"/>
        <v>2.6315789473684208</v>
      </c>
      <c r="L436" s="528"/>
      <c r="M436" s="528"/>
    </row>
    <row r="437" spans="1:13" s="42" customFormat="1" ht="20.100000000000001" customHeight="1">
      <c r="A437" s="207">
        <f t="shared" si="143"/>
        <v>23</v>
      </c>
      <c r="B437" s="286" t="s">
        <v>93</v>
      </c>
      <c r="C437" s="281"/>
      <c r="D437" s="282">
        <v>22</v>
      </c>
      <c r="E437" s="81" t="s">
        <v>40</v>
      </c>
      <c r="F437" s="283">
        <f>F400</f>
        <v>62000</v>
      </c>
      <c r="G437" s="67">
        <f t="shared" si="138"/>
        <v>1364000</v>
      </c>
      <c r="H437" s="535"/>
      <c r="I437" s="541">
        <v>74545.08600000001</v>
      </c>
      <c r="J437" s="560">
        <f t="shared" si="139"/>
        <v>1639991.8920000002</v>
      </c>
      <c r="K437" s="560">
        <f t="shared" si="137"/>
        <v>83.171142897333283</v>
      </c>
      <c r="L437" s="528"/>
      <c r="M437" s="528"/>
    </row>
    <row r="438" spans="1:13" s="42" customFormat="1" ht="20.100000000000001" customHeight="1">
      <c r="A438" s="207">
        <f t="shared" si="143"/>
        <v>24</v>
      </c>
      <c r="B438" s="280" t="s">
        <v>92</v>
      </c>
      <c r="C438" s="281"/>
      <c r="D438" s="228">
        <v>90.050000000000011</v>
      </c>
      <c r="E438" s="81" t="s">
        <v>40</v>
      </c>
      <c r="F438" s="283">
        <f>F409</f>
        <v>300000</v>
      </c>
      <c r="G438" s="67">
        <f>D438*F438</f>
        <v>27015000.000000004</v>
      </c>
      <c r="H438" s="535"/>
      <c r="I438" s="541">
        <v>216641.42500000002</v>
      </c>
      <c r="J438" s="560">
        <f t="shared" si="139"/>
        <v>19508560.321250003</v>
      </c>
      <c r="K438" s="560">
        <f t="shared" si="137"/>
        <v>138.47767111022279</v>
      </c>
      <c r="L438" s="528"/>
      <c r="M438" s="528"/>
    </row>
    <row r="439" spans="1:13" s="42" customFormat="1" ht="20.100000000000001" customHeight="1">
      <c r="A439" s="207">
        <f t="shared" si="143"/>
        <v>25</v>
      </c>
      <c r="B439" s="286" t="s">
        <v>315</v>
      </c>
      <c r="C439" s="281"/>
      <c r="D439" s="282">
        <v>52.465000000000003</v>
      </c>
      <c r="E439" s="81" t="s">
        <v>40</v>
      </c>
      <c r="F439" s="283">
        <v>350000</v>
      </c>
      <c r="G439" s="67">
        <f t="shared" si="138"/>
        <v>18362750</v>
      </c>
      <c r="H439" s="535"/>
      <c r="I439" s="541">
        <v>408890.36833333335</v>
      </c>
      <c r="J439" s="560">
        <f t="shared" si="139"/>
        <v>21452433.174608335</v>
      </c>
      <c r="K439" s="560">
        <f t="shared" si="137"/>
        <v>85.597516377464515</v>
      </c>
      <c r="L439" s="528"/>
      <c r="M439" s="528"/>
    </row>
    <row r="440" spans="1:13" s="42" customFormat="1" ht="20.100000000000001" customHeight="1">
      <c r="A440" s="66">
        <f t="shared" ref="A440:A441" si="146">1+A439</f>
        <v>26</v>
      </c>
      <c r="B440" s="286" t="s">
        <v>314</v>
      </c>
      <c r="C440" s="281"/>
      <c r="D440" s="74">
        <v>78</v>
      </c>
      <c r="E440" s="81" t="s">
        <v>52</v>
      </c>
      <c r="F440" s="277">
        <v>50000</v>
      </c>
      <c r="G440" s="67">
        <f t="shared" si="138"/>
        <v>3900000</v>
      </c>
      <c r="H440" s="535"/>
      <c r="I440" s="277">
        <v>27000</v>
      </c>
      <c r="J440" s="560">
        <f t="shared" si="139"/>
        <v>2106000</v>
      </c>
      <c r="K440" s="560">
        <f t="shared" si="137"/>
        <v>185.18518518518519</v>
      </c>
      <c r="L440" s="528"/>
      <c r="M440" s="528"/>
    </row>
    <row r="441" spans="1:13" s="42" customFormat="1" ht="20.100000000000001" customHeight="1">
      <c r="A441" s="66">
        <f t="shared" si="146"/>
        <v>27</v>
      </c>
      <c r="B441" s="280" t="s">
        <v>291</v>
      </c>
      <c r="C441" s="281"/>
      <c r="D441" s="228">
        <v>88</v>
      </c>
      <c r="E441" s="81" t="s">
        <v>52</v>
      </c>
      <c r="F441" s="283">
        <v>75000</v>
      </c>
      <c r="G441" s="67">
        <f t="shared" si="138"/>
        <v>6600000</v>
      </c>
      <c r="H441" s="535"/>
      <c r="I441" s="541">
        <v>79282.5</v>
      </c>
      <c r="J441" s="560">
        <f t="shared" si="139"/>
        <v>6976860</v>
      </c>
      <c r="K441" s="560">
        <f t="shared" si="137"/>
        <v>94.598429666067545</v>
      </c>
      <c r="L441" s="528"/>
      <c r="M441" s="528"/>
    </row>
    <row r="442" spans="1:13" s="42" customFormat="1" ht="20.100000000000001" customHeight="1">
      <c r="A442" s="207">
        <f t="shared" si="143"/>
        <v>28</v>
      </c>
      <c r="B442" s="286" t="s">
        <v>94</v>
      </c>
      <c r="C442" s="281"/>
      <c r="D442" s="64">
        <v>105.96000000000001</v>
      </c>
      <c r="E442" s="81" t="s">
        <v>40</v>
      </c>
      <c r="F442" s="283">
        <v>40000</v>
      </c>
      <c r="G442" s="67">
        <f t="shared" si="138"/>
        <v>4238400</v>
      </c>
      <c r="H442" s="535"/>
      <c r="I442" s="541">
        <v>45665.675000000003</v>
      </c>
      <c r="J442" s="560">
        <f t="shared" si="139"/>
        <v>4838734.9230000004</v>
      </c>
      <c r="K442" s="560">
        <f t="shared" si="137"/>
        <v>87.5931429897839</v>
      </c>
      <c r="L442" s="528"/>
      <c r="M442" s="528"/>
    </row>
    <row r="443" spans="1:13" s="42" customFormat="1" ht="20.100000000000001" customHeight="1">
      <c r="A443" s="207">
        <f t="shared" si="143"/>
        <v>29</v>
      </c>
      <c r="B443" s="286" t="s">
        <v>292</v>
      </c>
      <c r="C443" s="281"/>
      <c r="D443" s="64">
        <v>105.96000000000001</v>
      </c>
      <c r="E443" s="81" t="s">
        <v>40</v>
      </c>
      <c r="F443" s="283">
        <v>100000</v>
      </c>
      <c r="G443" s="67">
        <f t="shared" si="138"/>
        <v>10596000</v>
      </c>
      <c r="H443" s="535"/>
      <c r="I443" s="541">
        <v>178000</v>
      </c>
      <c r="J443" s="560">
        <f t="shared" si="139"/>
        <v>18860880</v>
      </c>
      <c r="K443" s="576">
        <f t="shared" si="137"/>
        <v>56.17977528089888</v>
      </c>
      <c r="L443" s="528"/>
      <c r="M443" s="528"/>
    </row>
    <row r="444" spans="1:13" s="42" customFormat="1" ht="20.100000000000001" customHeight="1">
      <c r="A444" s="66"/>
      <c r="B444" s="184"/>
      <c r="C444" s="184"/>
      <c r="D444" s="64"/>
      <c r="E444" s="65"/>
      <c r="F444" s="68"/>
      <c r="G444" s="88"/>
      <c r="H444" s="535"/>
      <c r="I444" s="548"/>
      <c r="J444" s="567"/>
      <c r="K444" s="560"/>
      <c r="L444" s="528"/>
      <c r="M444" s="528"/>
    </row>
    <row r="445" spans="1:13" s="42" customFormat="1" ht="20.100000000000001" customHeight="1">
      <c r="A445" s="69" t="s">
        <v>267</v>
      </c>
      <c r="B445" s="185" t="s">
        <v>95</v>
      </c>
      <c r="C445" s="186"/>
      <c r="D445" s="70"/>
      <c r="E445" s="71"/>
      <c r="F445" s="72"/>
      <c r="G445" s="73">
        <f>SUM(G447:G473)</f>
        <v>936479457.97333348</v>
      </c>
      <c r="H445" s="535"/>
      <c r="I445" s="549"/>
      <c r="J445" s="570"/>
      <c r="K445" s="560"/>
      <c r="L445" s="528"/>
      <c r="M445" s="528"/>
    </row>
    <row r="446" spans="1:13" s="42" customFormat="1" ht="20.100000000000001" customHeight="1">
      <c r="A446" s="90"/>
      <c r="B446" s="191" t="s">
        <v>273</v>
      </c>
      <c r="C446" s="192"/>
      <c r="D446" s="92"/>
      <c r="E446" s="93"/>
      <c r="F446" s="91"/>
      <c r="G446" s="47"/>
      <c r="H446" s="535"/>
      <c r="I446" s="552"/>
      <c r="J446" s="571"/>
      <c r="K446" s="560"/>
      <c r="L446" s="528"/>
      <c r="M446" s="528"/>
    </row>
    <row r="447" spans="1:13" s="42" customFormat="1" ht="20.100000000000001" customHeight="1">
      <c r="A447" s="285">
        <v>1</v>
      </c>
      <c r="B447" s="280" t="s">
        <v>37</v>
      </c>
      <c r="C447" s="288"/>
      <c r="D447" s="282">
        <v>46.345799999999997</v>
      </c>
      <c r="E447" s="81" t="s">
        <v>38</v>
      </c>
      <c r="F447" s="283">
        <f>F414</f>
        <v>90000</v>
      </c>
      <c r="G447" s="75">
        <f>D447*F447</f>
        <v>4171121.9999999995</v>
      </c>
      <c r="H447" s="535"/>
      <c r="I447" s="541">
        <v>68612.5</v>
      </c>
      <c r="J447" s="560">
        <f t="shared" ref="J447:J473" si="147">D447*I447</f>
        <v>3179901.2024999997</v>
      </c>
      <c r="K447" s="560">
        <f t="shared" si="137"/>
        <v>131.17143377664419</v>
      </c>
      <c r="L447" s="528"/>
      <c r="M447" s="528"/>
    </row>
    <row r="448" spans="1:13" s="42" customFormat="1" ht="20.100000000000001" customHeight="1">
      <c r="A448" s="271">
        <f>A447+1</f>
        <v>2</v>
      </c>
      <c r="B448" s="272" t="s">
        <v>39</v>
      </c>
      <c r="C448" s="273"/>
      <c r="D448" s="274">
        <v>120</v>
      </c>
      <c r="E448" s="45" t="s">
        <v>40</v>
      </c>
      <c r="F448" s="46">
        <v>10000</v>
      </c>
      <c r="G448" s="275">
        <f t="shared" ref="G448" si="148">D448*F448</f>
        <v>1200000</v>
      </c>
      <c r="H448" s="535"/>
      <c r="I448" s="46">
        <v>10839.583333333334</v>
      </c>
      <c r="J448" s="560">
        <f t="shared" si="147"/>
        <v>1300750</v>
      </c>
      <c r="K448" s="560">
        <f t="shared" si="137"/>
        <v>92.254468575821633</v>
      </c>
      <c r="L448" s="528"/>
      <c r="M448" s="528"/>
    </row>
    <row r="449" spans="1:13" s="42" customFormat="1" ht="20.100000000000001" customHeight="1">
      <c r="A449" s="271">
        <f t="shared" ref="A449:A455" si="149">A448+1</f>
        <v>3</v>
      </c>
      <c r="B449" s="272" t="s">
        <v>233</v>
      </c>
      <c r="C449" s="288"/>
      <c r="D449" s="282">
        <v>14.765499999999999</v>
      </c>
      <c r="E449" s="81" t="s">
        <v>38</v>
      </c>
      <c r="F449" s="283">
        <f>F416</f>
        <v>50000</v>
      </c>
      <c r="G449" s="75">
        <f t="shared" ref="G449:G473" si="150">D449*F449</f>
        <v>738275</v>
      </c>
      <c r="H449" s="535"/>
      <c r="I449" s="541">
        <v>28909.375000000004</v>
      </c>
      <c r="J449" s="560">
        <f t="shared" si="147"/>
        <v>426861.37656250002</v>
      </c>
      <c r="K449" s="560">
        <f t="shared" si="137"/>
        <v>172.9542752134904</v>
      </c>
      <c r="L449" s="528"/>
      <c r="M449" s="528"/>
    </row>
    <row r="450" spans="1:13" s="42" customFormat="1" ht="20.100000000000001" customHeight="1">
      <c r="A450" s="271">
        <f t="shared" si="149"/>
        <v>4</v>
      </c>
      <c r="B450" s="286" t="s">
        <v>62</v>
      </c>
      <c r="C450" s="281"/>
      <c r="D450" s="282">
        <v>2.7967500000000003</v>
      </c>
      <c r="E450" s="81" t="s">
        <v>38</v>
      </c>
      <c r="F450" s="283">
        <f>F417</f>
        <v>350000</v>
      </c>
      <c r="G450" s="75">
        <f t="shared" si="150"/>
        <v>978862.50000000012</v>
      </c>
      <c r="H450" s="535"/>
      <c r="I450" s="541">
        <v>257207.50000000003</v>
      </c>
      <c r="J450" s="560">
        <f t="shared" si="147"/>
        <v>719345.07562500017</v>
      </c>
      <c r="K450" s="560">
        <f t="shared" si="137"/>
        <v>136.07690288969022</v>
      </c>
      <c r="L450" s="528"/>
      <c r="M450" s="528"/>
    </row>
    <row r="451" spans="1:13" s="42" customFormat="1" ht="20.100000000000001" customHeight="1">
      <c r="A451" s="271">
        <f t="shared" si="149"/>
        <v>5</v>
      </c>
      <c r="B451" s="286" t="s">
        <v>64</v>
      </c>
      <c r="C451" s="281"/>
      <c r="D451" s="282">
        <v>1.6967500000000002</v>
      </c>
      <c r="E451" s="81" t="s">
        <v>70</v>
      </c>
      <c r="F451" s="283">
        <f>F418</f>
        <v>950000</v>
      </c>
      <c r="G451" s="75">
        <f t="shared" si="150"/>
        <v>1611912.5000000002</v>
      </c>
      <c r="H451" s="535"/>
      <c r="I451" s="541">
        <v>1110010.5092592593</v>
      </c>
      <c r="J451" s="560">
        <f t="shared" si="147"/>
        <v>1883410.3315856485</v>
      </c>
      <c r="K451" s="560">
        <f t="shared" si="137"/>
        <v>85.584775285953029</v>
      </c>
      <c r="L451" s="528"/>
      <c r="M451" s="528"/>
    </row>
    <row r="452" spans="1:13" s="42" customFormat="1" ht="20.100000000000001" customHeight="1">
      <c r="A452" s="271">
        <f t="shared" si="149"/>
        <v>6</v>
      </c>
      <c r="B452" s="280" t="s">
        <v>271</v>
      </c>
      <c r="C452" s="281"/>
      <c r="D452" s="228">
        <v>64.52</v>
      </c>
      <c r="E452" s="81" t="s">
        <v>70</v>
      </c>
      <c r="F452" s="283">
        <v>7000000</v>
      </c>
      <c r="G452" s="75">
        <f t="shared" si="150"/>
        <v>451640000</v>
      </c>
      <c r="H452" s="535"/>
      <c r="I452" s="541">
        <v>5433477.0833333349</v>
      </c>
      <c r="J452" s="560">
        <f t="shared" si="147"/>
        <v>350567941.41666675</v>
      </c>
      <c r="K452" s="560">
        <f t="shared" si="137"/>
        <v>128.83094734073367</v>
      </c>
      <c r="L452" s="528"/>
      <c r="M452" s="528"/>
    </row>
    <row r="453" spans="1:13" s="42" customFormat="1" ht="20.100000000000001" customHeight="1">
      <c r="A453" s="284">
        <f>A452+1</f>
        <v>7</v>
      </c>
      <c r="B453" s="280" t="s">
        <v>272</v>
      </c>
      <c r="C453" s="281"/>
      <c r="D453" s="282">
        <v>2.192272</v>
      </c>
      <c r="E453" s="81" t="s">
        <v>70</v>
      </c>
      <c r="F453" s="283">
        <f>F398</f>
        <v>3500000</v>
      </c>
      <c r="G453" s="67">
        <f t="shared" si="150"/>
        <v>7672952</v>
      </c>
      <c r="H453" s="535"/>
      <c r="I453" s="541">
        <v>2473894.5462962966</v>
      </c>
      <c r="J453" s="560">
        <f t="shared" si="147"/>
        <v>5423449.7447980745</v>
      </c>
      <c r="K453" s="560">
        <f t="shared" si="137"/>
        <v>141.47733197600928</v>
      </c>
      <c r="L453" s="528"/>
      <c r="M453" s="528"/>
    </row>
    <row r="454" spans="1:13" s="42" customFormat="1" ht="20.100000000000001" customHeight="1">
      <c r="A454" s="284">
        <f>A453+1</f>
        <v>8</v>
      </c>
      <c r="B454" s="286" t="s">
        <v>67</v>
      </c>
      <c r="C454" s="281"/>
      <c r="D454" s="282">
        <v>12.210720000000002</v>
      </c>
      <c r="E454" s="81" t="s">
        <v>70</v>
      </c>
      <c r="F454" s="283">
        <f>F425</f>
        <v>900000</v>
      </c>
      <c r="G454" s="75">
        <f t="shared" si="150"/>
        <v>10989648.000000002</v>
      </c>
      <c r="H454" s="535"/>
      <c r="I454" s="541">
        <v>1120599.7000000002</v>
      </c>
      <c r="J454" s="560">
        <f t="shared" si="147"/>
        <v>13683329.168784004</v>
      </c>
      <c r="K454" s="560">
        <f t="shared" si="137"/>
        <v>80.314138938284557</v>
      </c>
      <c r="L454" s="528"/>
      <c r="M454" s="528"/>
    </row>
    <row r="455" spans="1:13" s="42" customFormat="1" ht="20.100000000000001" customHeight="1">
      <c r="A455" s="271">
        <f t="shared" si="149"/>
        <v>9</v>
      </c>
      <c r="B455" s="272" t="s">
        <v>41</v>
      </c>
      <c r="C455" s="273"/>
      <c r="D455" s="274">
        <v>59.29</v>
      </c>
      <c r="E455" s="45" t="s">
        <v>38</v>
      </c>
      <c r="F455" s="46">
        <f>F43</f>
        <v>667000</v>
      </c>
      <c r="G455" s="275">
        <f t="shared" si="150"/>
        <v>39546430</v>
      </c>
      <c r="H455" s="535"/>
      <c r="I455" s="46">
        <v>882413.81250000012</v>
      </c>
      <c r="J455" s="560">
        <f t="shared" si="147"/>
        <v>52318314.94312501</v>
      </c>
      <c r="K455" s="560">
        <f t="shared" si="137"/>
        <v>75.588118697994645</v>
      </c>
      <c r="L455" s="528"/>
      <c r="M455" s="528"/>
    </row>
    <row r="456" spans="1:13" s="42" customFormat="1" ht="20.100000000000001" customHeight="1">
      <c r="A456" s="271">
        <f>A455+1</f>
        <v>10</v>
      </c>
      <c r="B456" s="286" t="s">
        <v>93</v>
      </c>
      <c r="C456" s="281"/>
      <c r="D456" s="282">
        <v>5.2236000000000002</v>
      </c>
      <c r="E456" s="81" t="s">
        <v>40</v>
      </c>
      <c r="F456" s="283">
        <f>F437</f>
        <v>62000</v>
      </c>
      <c r="G456" s="75">
        <f t="shared" si="150"/>
        <v>323863.2</v>
      </c>
      <c r="H456" s="535"/>
      <c r="I456" s="541">
        <v>74545.08600000001</v>
      </c>
      <c r="J456" s="560">
        <f t="shared" si="147"/>
        <v>389393.71122960007</v>
      </c>
      <c r="K456" s="560">
        <f t="shared" si="137"/>
        <v>83.171142897333283</v>
      </c>
      <c r="L456" s="528"/>
      <c r="M456" s="528"/>
    </row>
    <row r="457" spans="1:13" s="42" customFormat="1" ht="20.100000000000001" customHeight="1">
      <c r="A457" s="285">
        <f t="shared" ref="A457:A458" si="151">A456+1</f>
        <v>11</v>
      </c>
      <c r="B457" s="297" t="s">
        <v>116</v>
      </c>
      <c r="C457" s="273"/>
      <c r="D457" s="274">
        <v>13.44</v>
      </c>
      <c r="E457" s="45" t="s">
        <v>40</v>
      </c>
      <c r="F457" s="46">
        <f>F79</f>
        <v>60000</v>
      </c>
      <c r="G457" s="75">
        <f t="shared" si="150"/>
        <v>806400</v>
      </c>
      <c r="H457" s="535"/>
      <c r="I457" s="46">
        <v>111088.2828</v>
      </c>
      <c r="J457" s="560">
        <f t="shared" si="147"/>
        <v>1493026.5208320001</v>
      </c>
      <c r="K457" s="576">
        <f t="shared" si="137"/>
        <v>54.011096839098862</v>
      </c>
      <c r="L457" s="528"/>
      <c r="M457" s="528"/>
    </row>
    <row r="458" spans="1:13" s="42" customFormat="1" ht="20.100000000000001" customHeight="1">
      <c r="A458" s="285">
        <f t="shared" si="151"/>
        <v>12</v>
      </c>
      <c r="B458" s="297" t="s">
        <v>18</v>
      </c>
      <c r="C458" s="273"/>
      <c r="D458" s="274">
        <v>97.593000000000004</v>
      </c>
      <c r="E458" s="45" t="s">
        <v>40</v>
      </c>
      <c r="F458" s="46">
        <f>F80</f>
        <v>40000</v>
      </c>
      <c r="G458" s="75">
        <f t="shared" si="150"/>
        <v>3903720</v>
      </c>
      <c r="H458" s="535"/>
      <c r="I458" s="46">
        <v>45665.675000000003</v>
      </c>
      <c r="J458" s="560">
        <f t="shared" si="147"/>
        <v>4456650.2202750007</v>
      </c>
      <c r="K458" s="560">
        <f t="shared" si="137"/>
        <v>87.5931429897839</v>
      </c>
      <c r="L458" s="528"/>
      <c r="M458" s="528"/>
    </row>
    <row r="459" spans="1:13" s="42" customFormat="1" ht="20.100000000000001" customHeight="1">
      <c r="A459" s="66">
        <f t="shared" ref="A459:A473" si="152">1+A458</f>
        <v>13</v>
      </c>
      <c r="B459" s="286" t="s">
        <v>168</v>
      </c>
      <c r="C459" s="281"/>
      <c r="D459" s="282">
        <v>27.403399999999998</v>
      </c>
      <c r="E459" s="81" t="s">
        <v>40</v>
      </c>
      <c r="F459" s="283">
        <f>F406</f>
        <v>40000</v>
      </c>
      <c r="G459" s="67">
        <f t="shared" si="150"/>
        <v>1096136</v>
      </c>
      <c r="H459" s="535"/>
      <c r="I459" s="541">
        <v>45665.675000000003</v>
      </c>
      <c r="J459" s="560">
        <f t="shared" si="147"/>
        <v>1251394.7582950001</v>
      </c>
      <c r="K459" s="560">
        <f t="shared" si="137"/>
        <v>87.5931429897839</v>
      </c>
      <c r="L459" s="528"/>
      <c r="M459" s="528"/>
    </row>
    <row r="460" spans="1:13" s="42" customFormat="1" ht="20.100000000000001" customHeight="1">
      <c r="A460" s="66">
        <f t="shared" si="152"/>
        <v>14</v>
      </c>
      <c r="B460" s="303" t="s">
        <v>274</v>
      </c>
      <c r="C460" s="304"/>
      <c r="D460" s="305">
        <v>2838.7333333333336</v>
      </c>
      <c r="E460" s="81" t="s">
        <v>7</v>
      </c>
      <c r="F460" s="283">
        <f>F430</f>
        <v>32000</v>
      </c>
      <c r="G460" s="75">
        <f t="shared" ref="G460" si="153">D460*F460</f>
        <v>90839466.666666672</v>
      </c>
      <c r="H460" s="535"/>
      <c r="I460" s="541">
        <v>34424.5</v>
      </c>
      <c r="J460" s="560">
        <f t="shared" si="147"/>
        <v>97721975.63333334</v>
      </c>
      <c r="K460" s="560">
        <f t="shared" si="137"/>
        <v>92.957050937559004</v>
      </c>
      <c r="L460" s="528"/>
      <c r="M460" s="528"/>
    </row>
    <row r="461" spans="1:13" s="42" customFormat="1" ht="20.100000000000001" customHeight="1">
      <c r="A461" s="66">
        <f t="shared" si="152"/>
        <v>15</v>
      </c>
      <c r="B461" s="303" t="s">
        <v>275</v>
      </c>
      <c r="C461" s="304"/>
      <c r="D461" s="305">
        <v>514.64</v>
      </c>
      <c r="E461" s="81" t="s">
        <v>7</v>
      </c>
      <c r="F461" s="283">
        <f>F460</f>
        <v>32000</v>
      </c>
      <c r="G461" s="75">
        <f t="shared" ref="G461" si="154">D461*F461</f>
        <v>16468480</v>
      </c>
      <c r="H461" s="535"/>
      <c r="I461" s="541">
        <v>36184.5</v>
      </c>
      <c r="J461" s="560">
        <f t="shared" si="147"/>
        <v>18621991.079999998</v>
      </c>
      <c r="K461" s="560">
        <f t="shared" si="137"/>
        <v>88.435656151114429</v>
      </c>
      <c r="L461" s="528"/>
      <c r="M461" s="528"/>
    </row>
    <row r="462" spans="1:13" s="42" customFormat="1" ht="20.100000000000001" customHeight="1">
      <c r="A462" s="66">
        <f t="shared" si="152"/>
        <v>16</v>
      </c>
      <c r="B462" s="303" t="s">
        <v>276</v>
      </c>
      <c r="C462" s="304"/>
      <c r="D462" s="305">
        <v>180.97999999999996</v>
      </c>
      <c r="E462" s="81" t="s">
        <v>52</v>
      </c>
      <c r="F462" s="283">
        <f>250000*1.4</f>
        <v>350000</v>
      </c>
      <c r="G462" s="75">
        <f t="shared" ref="G462" si="155">D462*F462</f>
        <v>63342999.999999985</v>
      </c>
      <c r="H462" s="535"/>
      <c r="I462" s="541">
        <v>325000</v>
      </c>
      <c r="J462" s="560">
        <f t="shared" si="147"/>
        <v>58818499.999999985</v>
      </c>
      <c r="K462" s="560">
        <f t="shared" ref="K462:K525" si="156">F462/I462*100</f>
        <v>107.69230769230769</v>
      </c>
      <c r="L462" s="528"/>
      <c r="M462" s="528"/>
    </row>
    <row r="463" spans="1:13" s="42" customFormat="1" ht="20.100000000000001" customHeight="1">
      <c r="A463" s="66">
        <f t="shared" si="152"/>
        <v>17</v>
      </c>
      <c r="B463" s="303" t="s">
        <v>277</v>
      </c>
      <c r="C463" s="304"/>
      <c r="D463" s="305">
        <v>148</v>
      </c>
      <c r="E463" s="81" t="s">
        <v>2</v>
      </c>
      <c r="F463" s="283">
        <v>25000</v>
      </c>
      <c r="G463" s="75">
        <f t="shared" ref="G463" si="157">D463*F463</f>
        <v>3700000</v>
      </c>
      <c r="H463" s="535"/>
      <c r="I463" s="541">
        <v>56000</v>
      </c>
      <c r="J463" s="560">
        <f t="shared" si="147"/>
        <v>8288000</v>
      </c>
      <c r="K463" s="576">
        <f t="shared" si="156"/>
        <v>44.642857142857146</v>
      </c>
      <c r="L463" s="528"/>
      <c r="M463" s="528"/>
    </row>
    <row r="464" spans="1:13" s="42" customFormat="1" ht="20.100000000000001" customHeight="1">
      <c r="A464" s="66">
        <f t="shared" si="152"/>
        <v>18</v>
      </c>
      <c r="B464" s="303" t="s">
        <v>278</v>
      </c>
      <c r="C464" s="304"/>
      <c r="D464" s="305">
        <v>4</v>
      </c>
      <c r="E464" s="81" t="s">
        <v>2</v>
      </c>
      <c r="F464" s="283">
        <v>1500000</v>
      </c>
      <c r="G464" s="75">
        <f t="shared" ref="G464" si="158">D464*F464</f>
        <v>6000000</v>
      </c>
      <c r="H464" s="535"/>
      <c r="I464" s="541">
        <v>750000</v>
      </c>
      <c r="J464" s="560">
        <f t="shared" si="147"/>
        <v>3000000</v>
      </c>
      <c r="K464" s="560">
        <f t="shared" si="156"/>
        <v>200</v>
      </c>
      <c r="L464" s="528"/>
      <c r="M464" s="528"/>
    </row>
    <row r="465" spans="1:13" s="42" customFormat="1" ht="20.100000000000001" customHeight="1">
      <c r="A465" s="66">
        <f t="shared" si="152"/>
        <v>19</v>
      </c>
      <c r="B465" s="586" t="s">
        <v>97</v>
      </c>
      <c r="C465" s="587"/>
      <c r="D465" s="282">
        <v>133.51</v>
      </c>
      <c r="E465" s="81" t="s">
        <v>52</v>
      </c>
      <c r="F465" s="283">
        <f>F332</f>
        <v>268333.33333333331</v>
      </c>
      <c r="G465" s="75">
        <f t="shared" si="150"/>
        <v>35825183.333333328</v>
      </c>
      <c r="H465" s="535"/>
      <c r="I465" s="541">
        <v>276584.97589743591</v>
      </c>
      <c r="J465" s="560">
        <f t="shared" si="147"/>
        <v>36926860.132066667</v>
      </c>
      <c r="K465" s="560">
        <f t="shared" si="156"/>
        <v>97.016597688530098</v>
      </c>
      <c r="L465" s="528"/>
      <c r="M465" s="528"/>
    </row>
    <row r="466" spans="1:13" s="42" customFormat="1" ht="20.100000000000001" customHeight="1">
      <c r="A466" s="66">
        <f t="shared" si="152"/>
        <v>20</v>
      </c>
      <c r="B466" s="586" t="s">
        <v>239</v>
      </c>
      <c r="C466" s="587"/>
      <c r="D466" s="282">
        <v>52.82</v>
      </c>
      <c r="E466" s="81" t="s">
        <v>52</v>
      </c>
      <c r="F466" s="283">
        <f>(200000/6)*1.5</f>
        <v>50000</v>
      </c>
      <c r="G466" s="75">
        <f t="shared" si="150"/>
        <v>2641000</v>
      </c>
      <c r="H466" s="535"/>
      <c r="I466" s="541">
        <v>165167.86000000002</v>
      </c>
      <c r="J466" s="560">
        <f t="shared" si="147"/>
        <v>8724166.3652000017</v>
      </c>
      <c r="K466" s="576">
        <f t="shared" si="156"/>
        <v>30.272233350967916</v>
      </c>
      <c r="L466" s="528"/>
      <c r="M466" s="528"/>
    </row>
    <row r="467" spans="1:13" s="42" customFormat="1" ht="20.100000000000001" customHeight="1">
      <c r="A467" s="66">
        <f t="shared" si="152"/>
        <v>21</v>
      </c>
      <c r="B467" s="586" t="s">
        <v>98</v>
      </c>
      <c r="C467" s="587"/>
      <c r="D467" s="282">
        <v>256.7</v>
      </c>
      <c r="E467" s="81" t="s">
        <v>52</v>
      </c>
      <c r="F467" s="283">
        <v>40000</v>
      </c>
      <c r="G467" s="75">
        <f t="shared" si="150"/>
        <v>10268000</v>
      </c>
      <c r="H467" s="535"/>
      <c r="I467" s="541">
        <v>124210.14375</v>
      </c>
      <c r="J467" s="560">
        <f t="shared" si="147"/>
        <v>31884743.900624998</v>
      </c>
      <c r="K467" s="576">
        <f t="shared" si="156"/>
        <v>32.20348901657237</v>
      </c>
      <c r="L467" s="528"/>
      <c r="M467" s="528"/>
    </row>
    <row r="468" spans="1:13" s="42" customFormat="1" ht="20.100000000000001" customHeight="1">
      <c r="A468" s="66">
        <f t="shared" si="152"/>
        <v>22</v>
      </c>
      <c r="B468" s="586" t="s">
        <v>99</v>
      </c>
      <c r="C468" s="587"/>
      <c r="D468" s="282">
        <v>3508.0933333333332</v>
      </c>
      <c r="E468" s="81" t="s">
        <v>1</v>
      </c>
      <c r="F468" s="283">
        <v>31000</v>
      </c>
      <c r="G468" s="75">
        <f t="shared" si="150"/>
        <v>108750893.33333333</v>
      </c>
      <c r="H468" s="535"/>
      <c r="I468" s="541">
        <v>33522.5</v>
      </c>
      <c r="J468" s="560">
        <f t="shared" si="147"/>
        <v>117600058.76666667</v>
      </c>
      <c r="K468" s="560">
        <f t="shared" si="156"/>
        <v>92.475203221716768</v>
      </c>
      <c r="L468" s="529">
        <f>22.68/6</f>
        <v>3.78</v>
      </c>
      <c r="M468" s="528"/>
    </row>
    <row r="469" spans="1:13" s="42" customFormat="1" ht="20.100000000000001" customHeight="1">
      <c r="A469" s="66">
        <f t="shared" si="152"/>
        <v>23</v>
      </c>
      <c r="B469" s="586" t="s">
        <v>100</v>
      </c>
      <c r="C469" s="587"/>
      <c r="D469" s="282">
        <v>297.41040000000004</v>
      </c>
      <c r="E469" s="81" t="s">
        <v>1</v>
      </c>
      <c r="F469" s="283">
        <v>35000</v>
      </c>
      <c r="G469" s="75">
        <f t="shared" si="150"/>
        <v>10409364.000000002</v>
      </c>
      <c r="H469" s="535"/>
      <c r="I469" s="541">
        <v>33522.5</v>
      </c>
      <c r="J469" s="560">
        <f t="shared" si="147"/>
        <v>9969940.1340000015</v>
      </c>
      <c r="K469" s="560">
        <f t="shared" si="156"/>
        <v>104.40748750838989</v>
      </c>
      <c r="L469" s="528"/>
      <c r="M469" s="528"/>
    </row>
    <row r="470" spans="1:13" s="42" customFormat="1" ht="20.100000000000001" customHeight="1">
      <c r="A470" s="66">
        <f t="shared" si="152"/>
        <v>24</v>
      </c>
      <c r="B470" s="586" t="s">
        <v>279</v>
      </c>
      <c r="C470" s="587"/>
      <c r="D470" s="282">
        <v>241.02992</v>
      </c>
      <c r="E470" s="81" t="s">
        <v>1</v>
      </c>
      <c r="F470" s="283">
        <v>32000</v>
      </c>
      <c r="G470" s="75">
        <f t="shared" si="150"/>
        <v>7712957.4400000004</v>
      </c>
      <c r="H470" s="535"/>
      <c r="I470" s="541">
        <v>18423.650000000001</v>
      </c>
      <c r="J470" s="560">
        <f t="shared" si="147"/>
        <v>4440650.8856080007</v>
      </c>
      <c r="K470" s="560">
        <f t="shared" si="156"/>
        <v>173.68979545312681</v>
      </c>
      <c r="L470" s="528"/>
      <c r="M470" s="528"/>
    </row>
    <row r="471" spans="1:13" s="42" customFormat="1" ht="20.100000000000001" customHeight="1">
      <c r="A471" s="66">
        <f t="shared" si="152"/>
        <v>25</v>
      </c>
      <c r="B471" s="586" t="s">
        <v>280</v>
      </c>
      <c r="C471" s="587"/>
      <c r="D471" s="282">
        <v>32</v>
      </c>
      <c r="E471" s="81" t="s">
        <v>3</v>
      </c>
      <c r="F471" s="283">
        <v>500000</v>
      </c>
      <c r="G471" s="75">
        <f t="shared" si="150"/>
        <v>16000000</v>
      </c>
      <c r="H471" s="535"/>
      <c r="I471" s="541">
        <v>175000</v>
      </c>
      <c r="J471" s="560">
        <f t="shared" si="147"/>
        <v>5600000</v>
      </c>
      <c r="K471" s="560">
        <f t="shared" si="156"/>
        <v>285.71428571428572</v>
      </c>
      <c r="L471" s="528"/>
      <c r="M471" s="528"/>
    </row>
    <row r="472" spans="1:13" s="42" customFormat="1" ht="20.100000000000001" customHeight="1">
      <c r="A472" s="66">
        <f t="shared" si="152"/>
        <v>26</v>
      </c>
      <c r="B472" s="586" t="s">
        <v>281</v>
      </c>
      <c r="C472" s="587"/>
      <c r="D472" s="282">
        <v>32</v>
      </c>
      <c r="E472" s="81" t="s">
        <v>3</v>
      </c>
      <c r="F472" s="283">
        <f>F471</f>
        <v>500000</v>
      </c>
      <c r="G472" s="75">
        <f t="shared" ref="G472" si="159">D472*F472</f>
        <v>16000000</v>
      </c>
      <c r="H472" s="535"/>
      <c r="I472" s="541">
        <v>275000</v>
      </c>
      <c r="J472" s="560">
        <f t="shared" si="147"/>
        <v>8800000</v>
      </c>
      <c r="K472" s="560">
        <f t="shared" si="156"/>
        <v>181.81818181818181</v>
      </c>
      <c r="L472" s="528"/>
      <c r="M472" s="528"/>
    </row>
    <row r="473" spans="1:13" s="42" customFormat="1" ht="20.100000000000001" customHeight="1">
      <c r="A473" s="66">
        <f t="shared" si="152"/>
        <v>27</v>
      </c>
      <c r="B473" s="586" t="s">
        <v>101</v>
      </c>
      <c r="C473" s="587"/>
      <c r="D473" s="282">
        <v>745.05600000000004</v>
      </c>
      <c r="E473" s="81" t="s">
        <v>7</v>
      </c>
      <c r="F473" s="283">
        <v>32000</v>
      </c>
      <c r="G473" s="75">
        <f t="shared" si="150"/>
        <v>23841792</v>
      </c>
      <c r="H473" s="535"/>
      <c r="I473" s="541">
        <v>32664.500000000004</v>
      </c>
      <c r="J473" s="560">
        <f t="shared" si="147"/>
        <v>24336881.712000005</v>
      </c>
      <c r="K473" s="560">
        <f t="shared" si="156"/>
        <v>97.965681397235514</v>
      </c>
      <c r="L473" s="528"/>
      <c r="M473" s="528"/>
    </row>
    <row r="474" spans="1:13" s="42" customFormat="1" ht="20.100000000000001" customHeight="1">
      <c r="A474" s="66"/>
      <c r="B474" s="184"/>
      <c r="C474" s="184"/>
      <c r="D474" s="64"/>
      <c r="E474" s="65"/>
      <c r="F474" s="68"/>
      <c r="G474" s="88"/>
      <c r="H474" s="535"/>
      <c r="I474" s="548"/>
      <c r="J474" s="567"/>
      <c r="K474" s="560"/>
      <c r="L474" s="528"/>
      <c r="M474" s="528"/>
    </row>
    <row r="475" spans="1:13" s="42" customFormat="1" ht="20.100000000000001" customHeight="1">
      <c r="A475" s="23" t="s">
        <v>268</v>
      </c>
      <c r="B475" s="164" t="s">
        <v>120</v>
      </c>
      <c r="C475" s="165"/>
      <c r="D475" s="24"/>
      <c r="E475" s="25"/>
      <c r="F475" s="26"/>
      <c r="G475" s="27">
        <f>SUM(G477:G496)</f>
        <v>224909058.75000003</v>
      </c>
      <c r="H475" s="535"/>
      <c r="I475" s="26"/>
      <c r="J475" s="572"/>
      <c r="K475" s="560"/>
      <c r="L475" s="528"/>
      <c r="M475" s="528"/>
    </row>
    <row r="476" spans="1:13" s="42" customFormat="1" ht="20.100000000000001" customHeight="1">
      <c r="A476" s="28"/>
      <c r="B476" s="183" t="s">
        <v>192</v>
      </c>
      <c r="C476" s="167"/>
      <c r="D476" s="29"/>
      <c r="E476" s="30"/>
      <c r="F476" s="31"/>
      <c r="G476" s="32"/>
      <c r="H476" s="535"/>
      <c r="I476" s="31"/>
      <c r="J476" s="561"/>
      <c r="K476" s="560"/>
      <c r="L476" s="528"/>
      <c r="M476" s="528"/>
    </row>
    <row r="477" spans="1:13" s="42" customFormat="1" ht="20.100000000000001" customHeight="1">
      <c r="A477" s="296">
        <v>1</v>
      </c>
      <c r="B477" s="280" t="s">
        <v>37</v>
      </c>
      <c r="C477" s="288"/>
      <c r="D477" s="74">
        <v>42.17949999999999</v>
      </c>
      <c r="E477" s="289" t="s">
        <v>61</v>
      </c>
      <c r="F477" s="290">
        <f>F447</f>
        <v>90000</v>
      </c>
      <c r="G477" s="292">
        <f>D477*F477</f>
        <v>3796154.9999999991</v>
      </c>
      <c r="H477" s="535"/>
      <c r="I477" s="546">
        <v>68612.5</v>
      </c>
      <c r="J477" s="560">
        <f t="shared" ref="J477:J496" si="160">D477*I477</f>
        <v>2894040.9437499992</v>
      </c>
      <c r="K477" s="560">
        <f t="shared" si="156"/>
        <v>131.17143377664419</v>
      </c>
      <c r="L477" s="528"/>
      <c r="M477" s="528"/>
    </row>
    <row r="478" spans="1:13" s="42" customFormat="1" ht="20.100000000000001" customHeight="1">
      <c r="A478" s="296">
        <f>A477+1</f>
        <v>2</v>
      </c>
      <c r="B478" s="272" t="s">
        <v>233</v>
      </c>
      <c r="C478" s="288"/>
      <c r="D478" s="74">
        <v>218.0754</v>
      </c>
      <c r="E478" s="289" t="s">
        <v>61</v>
      </c>
      <c r="F478" s="290">
        <f>F449</f>
        <v>50000</v>
      </c>
      <c r="G478" s="292">
        <f>D478*F478</f>
        <v>10903770</v>
      </c>
      <c r="H478" s="535"/>
      <c r="I478" s="546">
        <v>28909.375000000004</v>
      </c>
      <c r="J478" s="560">
        <f t="shared" si="160"/>
        <v>6304423.5168750007</v>
      </c>
      <c r="K478" s="560">
        <f t="shared" si="156"/>
        <v>172.9542752134904</v>
      </c>
      <c r="L478" s="528"/>
      <c r="M478" s="528"/>
    </row>
    <row r="479" spans="1:13" s="42" customFormat="1" ht="20.100000000000001" customHeight="1">
      <c r="A479" s="296">
        <f t="shared" ref="A479:A488" si="161">A478+1</f>
        <v>3</v>
      </c>
      <c r="B479" s="280" t="s">
        <v>124</v>
      </c>
      <c r="C479" s="288"/>
      <c r="D479" s="74">
        <v>25.863169999999997</v>
      </c>
      <c r="E479" s="289" t="s">
        <v>61</v>
      </c>
      <c r="F479" s="290">
        <f>F374</f>
        <v>250000</v>
      </c>
      <c r="G479" s="292">
        <f>D479*F479</f>
        <v>6465792.4999999991</v>
      </c>
      <c r="H479" s="535"/>
      <c r="I479" s="546">
        <v>250318.75000000003</v>
      </c>
      <c r="J479" s="560">
        <f t="shared" si="160"/>
        <v>6474036.3854374997</v>
      </c>
      <c r="K479" s="560">
        <f t="shared" si="156"/>
        <v>99.872662355496729</v>
      </c>
      <c r="L479" s="528"/>
      <c r="M479" s="528"/>
    </row>
    <row r="480" spans="1:13" s="42" customFormat="1" ht="20.100000000000001" customHeight="1">
      <c r="A480" s="296">
        <f t="shared" si="161"/>
        <v>4</v>
      </c>
      <c r="B480" s="286" t="s">
        <v>122</v>
      </c>
      <c r="C480" s="281"/>
      <c r="D480" s="74">
        <v>3.5104000000000002</v>
      </c>
      <c r="E480" s="289" t="s">
        <v>61</v>
      </c>
      <c r="F480" s="290">
        <f>F450</f>
        <v>350000</v>
      </c>
      <c r="G480" s="292">
        <f t="shared" ref="G480:G488" si="162">D480*F480</f>
        <v>1228640</v>
      </c>
      <c r="H480" s="535"/>
      <c r="I480" s="546">
        <v>257207.50000000003</v>
      </c>
      <c r="J480" s="560">
        <f t="shared" si="160"/>
        <v>902901.2080000001</v>
      </c>
      <c r="K480" s="560">
        <f t="shared" si="156"/>
        <v>136.07690288969022</v>
      </c>
      <c r="L480" s="528"/>
      <c r="M480" s="528"/>
    </row>
    <row r="481" spans="1:13" s="42" customFormat="1" ht="20.100000000000001" customHeight="1">
      <c r="A481" s="296">
        <f t="shared" si="161"/>
        <v>5</v>
      </c>
      <c r="B481" s="286" t="s">
        <v>64</v>
      </c>
      <c r="C481" s="281"/>
      <c r="D481" s="74">
        <v>6.1794509999999994</v>
      </c>
      <c r="E481" s="289" t="s">
        <v>118</v>
      </c>
      <c r="F481" s="290">
        <f>F451</f>
        <v>950000</v>
      </c>
      <c r="G481" s="292">
        <f t="shared" si="162"/>
        <v>5870478.4499999993</v>
      </c>
      <c r="H481" s="535"/>
      <c r="I481" s="546">
        <v>1110010.5092592593</v>
      </c>
      <c r="J481" s="560">
        <f t="shared" si="160"/>
        <v>6859255.5514526386</v>
      </c>
      <c r="K481" s="560">
        <f t="shared" si="156"/>
        <v>85.584775285953029</v>
      </c>
      <c r="L481" s="528"/>
      <c r="M481" s="528"/>
    </row>
    <row r="482" spans="1:13" s="42" customFormat="1" ht="20.100000000000001" customHeight="1">
      <c r="A482" s="296">
        <f t="shared" si="161"/>
        <v>6</v>
      </c>
      <c r="B482" s="280" t="s">
        <v>125</v>
      </c>
      <c r="C482" s="281"/>
      <c r="D482" s="74">
        <v>22.173231999999999</v>
      </c>
      <c r="E482" s="289" t="s">
        <v>118</v>
      </c>
      <c r="F482" s="283">
        <f>F453</f>
        <v>3500000</v>
      </c>
      <c r="G482" s="292">
        <f t="shared" si="162"/>
        <v>77606312</v>
      </c>
      <c r="H482" s="535"/>
      <c r="I482" s="541">
        <v>2448894.5462962966</v>
      </c>
      <c r="J482" s="560">
        <f t="shared" si="160"/>
        <v>54299906.918562524</v>
      </c>
      <c r="K482" s="560">
        <f t="shared" si="156"/>
        <v>142.92162989596238</v>
      </c>
      <c r="L482" s="528"/>
      <c r="M482" s="528"/>
    </row>
    <row r="483" spans="1:13" s="42" customFormat="1" ht="20.100000000000001" customHeight="1">
      <c r="A483" s="296">
        <f t="shared" si="161"/>
        <v>7</v>
      </c>
      <c r="B483" s="280" t="s">
        <v>126</v>
      </c>
      <c r="C483" s="281"/>
      <c r="D483" s="228">
        <v>0.64800000000000002</v>
      </c>
      <c r="E483" s="289" t="s">
        <v>118</v>
      </c>
      <c r="F483" s="290">
        <f>F399</f>
        <v>4000000</v>
      </c>
      <c r="G483" s="292">
        <f t="shared" si="162"/>
        <v>2592000</v>
      </c>
      <c r="H483" s="535"/>
      <c r="I483" s="546">
        <v>2448894.5462962966</v>
      </c>
      <c r="J483" s="560">
        <f t="shared" si="160"/>
        <v>1586883.6660000002</v>
      </c>
      <c r="K483" s="560">
        <f t="shared" si="156"/>
        <v>163.33900559538557</v>
      </c>
      <c r="L483" s="528"/>
      <c r="M483" s="528"/>
    </row>
    <row r="484" spans="1:13" s="42" customFormat="1" ht="20.100000000000001" customHeight="1">
      <c r="A484" s="296">
        <f t="shared" si="161"/>
        <v>8</v>
      </c>
      <c r="B484" s="286" t="s">
        <v>123</v>
      </c>
      <c r="C484" s="281"/>
      <c r="D484" s="74">
        <v>49.008300000000006</v>
      </c>
      <c r="E484" s="289" t="s">
        <v>118</v>
      </c>
      <c r="F484" s="290">
        <f>F454</f>
        <v>900000</v>
      </c>
      <c r="G484" s="292">
        <f t="shared" si="162"/>
        <v>44107470.000000007</v>
      </c>
      <c r="H484" s="535"/>
      <c r="I484" s="546">
        <v>1120599.7000000002</v>
      </c>
      <c r="J484" s="560">
        <f t="shared" si="160"/>
        <v>54918686.277510017</v>
      </c>
      <c r="K484" s="560">
        <f t="shared" si="156"/>
        <v>80.314138938284557</v>
      </c>
      <c r="L484" s="528"/>
      <c r="M484" s="528"/>
    </row>
    <row r="485" spans="1:13" s="42" customFormat="1" ht="20.100000000000001" customHeight="1">
      <c r="A485" s="296">
        <f t="shared" si="161"/>
        <v>9</v>
      </c>
      <c r="B485" s="286" t="s">
        <v>93</v>
      </c>
      <c r="C485" s="281"/>
      <c r="D485" s="74">
        <v>72.351399999999984</v>
      </c>
      <c r="E485" s="289" t="s">
        <v>58</v>
      </c>
      <c r="F485" s="290">
        <f>F456</f>
        <v>62000</v>
      </c>
      <c r="G485" s="292">
        <f t="shared" si="162"/>
        <v>4485786.7999999989</v>
      </c>
      <c r="H485" s="535"/>
      <c r="I485" s="546">
        <v>74545.08600000001</v>
      </c>
      <c r="J485" s="560">
        <f t="shared" si="160"/>
        <v>5393441.3352203993</v>
      </c>
      <c r="K485" s="560">
        <f t="shared" si="156"/>
        <v>83.171142897333283</v>
      </c>
      <c r="L485" s="528"/>
      <c r="M485" s="528"/>
    </row>
    <row r="486" spans="1:13" s="42" customFormat="1" ht="20.100000000000001" customHeight="1">
      <c r="A486" s="296">
        <f t="shared" si="161"/>
        <v>10</v>
      </c>
      <c r="B486" s="272" t="s">
        <v>116</v>
      </c>
      <c r="C486" s="273"/>
      <c r="D486" s="274">
        <v>35.868000000000002</v>
      </c>
      <c r="E486" s="45" t="s">
        <v>40</v>
      </c>
      <c r="F486" s="290">
        <f>F457</f>
        <v>60000</v>
      </c>
      <c r="G486" s="292">
        <f t="shared" si="162"/>
        <v>2152080</v>
      </c>
      <c r="H486" s="535"/>
      <c r="I486" s="546">
        <v>111088.2828</v>
      </c>
      <c r="J486" s="560">
        <f t="shared" si="160"/>
        <v>3984514.5274704001</v>
      </c>
      <c r="K486" s="576">
        <f t="shared" si="156"/>
        <v>54.011096839098862</v>
      </c>
      <c r="L486" s="528"/>
      <c r="M486" s="528"/>
    </row>
    <row r="487" spans="1:13" s="42" customFormat="1" ht="20.100000000000001" customHeight="1">
      <c r="A487" s="296">
        <f t="shared" si="161"/>
        <v>11</v>
      </c>
      <c r="B487" s="280" t="s">
        <v>128</v>
      </c>
      <c r="C487" s="281"/>
      <c r="D487" s="74">
        <v>35.868000000000002</v>
      </c>
      <c r="E487" s="289" t="s">
        <v>119</v>
      </c>
      <c r="F487" s="290">
        <f>F458</f>
        <v>40000</v>
      </c>
      <c r="G487" s="292">
        <f t="shared" si="162"/>
        <v>1434720</v>
      </c>
      <c r="H487" s="535"/>
      <c r="I487" s="546">
        <v>45665.675000000003</v>
      </c>
      <c r="J487" s="560">
        <f t="shared" si="160"/>
        <v>1637936.4309000003</v>
      </c>
      <c r="K487" s="560">
        <f t="shared" si="156"/>
        <v>87.5931429897839</v>
      </c>
      <c r="L487" s="528"/>
      <c r="M487" s="528"/>
    </row>
    <row r="488" spans="1:13" s="42" customFormat="1" ht="20.100000000000001" customHeight="1">
      <c r="A488" s="296">
        <f t="shared" si="161"/>
        <v>12</v>
      </c>
      <c r="B488" s="280" t="s">
        <v>127</v>
      </c>
      <c r="C488" s="281"/>
      <c r="D488" s="74">
        <v>13.628799999999998</v>
      </c>
      <c r="E488" s="289" t="s">
        <v>119</v>
      </c>
      <c r="F488" s="290">
        <f>F487</f>
        <v>40000</v>
      </c>
      <c r="G488" s="292">
        <f t="shared" si="162"/>
        <v>545151.99999999988</v>
      </c>
      <c r="H488" s="535"/>
      <c r="I488" s="546">
        <v>45665.675000000003</v>
      </c>
      <c r="J488" s="560">
        <f t="shared" si="160"/>
        <v>622368.35144</v>
      </c>
      <c r="K488" s="560">
        <f t="shared" si="156"/>
        <v>87.5931429897839</v>
      </c>
      <c r="L488" s="528"/>
      <c r="M488" s="528"/>
    </row>
    <row r="489" spans="1:13" s="42" customFormat="1" ht="20.100000000000001" customHeight="1">
      <c r="A489" s="296"/>
      <c r="B489" s="306" t="s">
        <v>130</v>
      </c>
      <c r="C489" s="307"/>
      <c r="D489" s="74"/>
      <c r="E489" s="289"/>
      <c r="F489" s="290"/>
      <c r="G489" s="308"/>
      <c r="H489" s="535"/>
      <c r="I489" s="546"/>
      <c r="J489" s="560">
        <f t="shared" si="160"/>
        <v>0</v>
      </c>
      <c r="K489" s="560"/>
      <c r="L489" s="528"/>
      <c r="M489" s="528"/>
    </row>
    <row r="490" spans="1:13" s="42" customFormat="1" ht="20.100000000000001" customHeight="1">
      <c r="A490" s="296">
        <f>A488+1</f>
        <v>13</v>
      </c>
      <c r="B490" s="309" t="s">
        <v>129</v>
      </c>
      <c r="C490" s="167"/>
      <c r="D490" s="267">
        <v>220.50399999999999</v>
      </c>
      <c r="E490" s="289" t="s">
        <v>119</v>
      </c>
      <c r="F490" s="268">
        <v>100000</v>
      </c>
      <c r="G490" s="32">
        <f>D490*F490</f>
        <v>22050400</v>
      </c>
      <c r="H490" s="535"/>
      <c r="I490" s="553">
        <v>157833.30080000003</v>
      </c>
      <c r="J490" s="560">
        <f t="shared" si="160"/>
        <v>34802874.159603201</v>
      </c>
      <c r="K490" s="560">
        <f t="shared" si="156"/>
        <v>63.357985604518255</v>
      </c>
      <c r="L490" s="528"/>
      <c r="M490" s="528"/>
    </row>
    <row r="491" spans="1:13" s="42" customFormat="1" ht="20.100000000000001" customHeight="1">
      <c r="A491" s="296">
        <f t="shared" ref="A491:A493" si="163">A490+1</f>
        <v>14</v>
      </c>
      <c r="B491" s="280" t="s">
        <v>103</v>
      </c>
      <c r="C491" s="281"/>
      <c r="D491" s="267">
        <v>187.81960000000001</v>
      </c>
      <c r="E491" s="289" t="s">
        <v>119</v>
      </c>
      <c r="F491" s="290">
        <f>F406</f>
        <v>40000</v>
      </c>
      <c r="G491" s="32">
        <f t="shared" ref="G491:G496" si="164">D491*F491</f>
        <v>7512784</v>
      </c>
      <c r="H491" s="535"/>
      <c r="I491" s="546">
        <v>45665.675000000003</v>
      </c>
      <c r="J491" s="560">
        <f t="shared" si="160"/>
        <v>8576908.8122300003</v>
      </c>
      <c r="K491" s="560">
        <f t="shared" si="156"/>
        <v>87.5931429897839</v>
      </c>
      <c r="L491" s="528"/>
      <c r="M491" s="528"/>
    </row>
    <row r="492" spans="1:13" s="42" customFormat="1" ht="20.100000000000001" customHeight="1">
      <c r="A492" s="296">
        <f t="shared" si="163"/>
        <v>15</v>
      </c>
      <c r="B492" s="280" t="s">
        <v>131</v>
      </c>
      <c r="C492" s="281"/>
      <c r="D492" s="267">
        <v>45.64439999999999</v>
      </c>
      <c r="E492" s="289" t="s">
        <v>119</v>
      </c>
      <c r="F492" s="290">
        <v>50000</v>
      </c>
      <c r="G492" s="32">
        <f t="shared" si="164"/>
        <v>2282219.9999999995</v>
      </c>
      <c r="H492" s="535"/>
      <c r="I492" s="546">
        <v>62240.750000000007</v>
      </c>
      <c r="J492" s="560">
        <f t="shared" si="160"/>
        <v>2840941.6892999997</v>
      </c>
      <c r="K492" s="560">
        <f t="shared" si="156"/>
        <v>80.333222205709276</v>
      </c>
      <c r="L492" s="528"/>
      <c r="M492" s="528"/>
    </row>
    <row r="493" spans="1:13" s="42" customFormat="1" ht="20.100000000000001" customHeight="1">
      <c r="A493" s="285">
        <f t="shared" si="163"/>
        <v>16</v>
      </c>
      <c r="B493" s="280" t="s">
        <v>92</v>
      </c>
      <c r="C493" s="281"/>
      <c r="D493" s="228">
        <v>20.342099999999999</v>
      </c>
      <c r="E493" s="81" t="s">
        <v>40</v>
      </c>
      <c r="F493" s="283">
        <f>F409</f>
        <v>300000</v>
      </c>
      <c r="G493" s="32">
        <f t="shared" si="164"/>
        <v>6102630</v>
      </c>
      <c r="H493" s="535"/>
      <c r="I493" s="541">
        <v>381933.50877192983</v>
      </c>
      <c r="J493" s="560">
        <f t="shared" si="160"/>
        <v>7769329.6287894733</v>
      </c>
      <c r="K493" s="560">
        <f t="shared" si="156"/>
        <v>78.547703490228159</v>
      </c>
      <c r="L493" s="528"/>
      <c r="M493" s="528"/>
    </row>
    <row r="494" spans="1:13" s="42" customFormat="1" ht="20.100000000000001" customHeight="1">
      <c r="A494" s="252">
        <f>A493+1</f>
        <v>17</v>
      </c>
      <c r="B494" s="266" t="s">
        <v>132</v>
      </c>
      <c r="C494" s="167"/>
      <c r="D494" s="267">
        <v>287.10000000000002</v>
      </c>
      <c r="E494" s="81" t="s">
        <v>52</v>
      </c>
      <c r="F494" s="268">
        <v>50000</v>
      </c>
      <c r="G494" s="32">
        <f t="shared" si="164"/>
        <v>14355000.000000002</v>
      </c>
      <c r="H494" s="535"/>
      <c r="I494" s="553">
        <v>76000</v>
      </c>
      <c r="J494" s="560">
        <f t="shared" si="160"/>
        <v>21819600</v>
      </c>
      <c r="K494" s="576">
        <f t="shared" si="156"/>
        <v>65.789473684210535</v>
      </c>
      <c r="L494" s="528"/>
      <c r="M494" s="528"/>
    </row>
    <row r="495" spans="1:13" s="42" customFormat="1" ht="20.100000000000001" customHeight="1">
      <c r="A495" s="66">
        <f t="shared" ref="A495:A496" si="165">A494+1</f>
        <v>18</v>
      </c>
      <c r="B495" s="278" t="s">
        <v>133</v>
      </c>
      <c r="C495" s="184"/>
      <c r="D495" s="64">
        <v>53.599999999999994</v>
      </c>
      <c r="E495" s="65" t="s">
        <v>56</v>
      </c>
      <c r="F495" s="277">
        <f>F369</f>
        <v>161000</v>
      </c>
      <c r="G495" s="32">
        <f t="shared" si="164"/>
        <v>8629600</v>
      </c>
      <c r="H495" s="535"/>
      <c r="I495" s="277">
        <v>166919.5</v>
      </c>
      <c r="J495" s="560">
        <f t="shared" si="160"/>
        <v>8946885.1999999993</v>
      </c>
      <c r="K495" s="560">
        <f t="shared" si="156"/>
        <v>96.453679767792252</v>
      </c>
      <c r="L495" s="528"/>
      <c r="M495" s="528"/>
    </row>
    <row r="496" spans="1:13" s="42" customFormat="1" ht="20.100000000000001" customHeight="1">
      <c r="A496" s="66">
        <f t="shared" si="165"/>
        <v>19</v>
      </c>
      <c r="B496" s="278" t="s">
        <v>134</v>
      </c>
      <c r="C496" s="184"/>
      <c r="D496" s="64">
        <v>29.41</v>
      </c>
      <c r="E496" s="65" t="s">
        <v>52</v>
      </c>
      <c r="F496" s="277">
        <f>F370</f>
        <v>94800</v>
      </c>
      <c r="G496" s="32">
        <f t="shared" si="164"/>
        <v>2788068</v>
      </c>
      <c r="H496" s="535"/>
      <c r="I496" s="277">
        <v>138898.375</v>
      </c>
      <c r="J496" s="560">
        <f t="shared" si="160"/>
        <v>4085001.2087500002</v>
      </c>
      <c r="K496" s="560">
        <f t="shared" si="156"/>
        <v>68.251338433584991</v>
      </c>
      <c r="L496" s="528"/>
      <c r="M496" s="528"/>
    </row>
    <row r="497" spans="1:13" s="42" customFormat="1" ht="20.100000000000001" customHeight="1">
      <c r="A497" s="66"/>
      <c r="B497" s="184"/>
      <c r="C497" s="184"/>
      <c r="D497" s="64"/>
      <c r="E497" s="65"/>
      <c r="F497" s="68"/>
      <c r="G497" s="88"/>
      <c r="H497" s="535"/>
      <c r="I497" s="548"/>
      <c r="J497" s="567"/>
      <c r="K497" s="560"/>
      <c r="L497" s="528"/>
      <c r="M497" s="528"/>
    </row>
    <row r="498" spans="1:13" s="42" customFormat="1" ht="20.100000000000001" customHeight="1">
      <c r="A498" s="76" t="s">
        <v>121</v>
      </c>
      <c r="B498" s="181" t="s">
        <v>218</v>
      </c>
      <c r="C498" s="182"/>
      <c r="D498" s="77"/>
      <c r="E498" s="78"/>
      <c r="F498" s="79"/>
      <c r="G498" s="89">
        <f>SUM(G500:G561)</f>
        <v>230884921.19999999</v>
      </c>
      <c r="H498" s="535"/>
      <c r="I498" s="544"/>
      <c r="J498" s="568"/>
      <c r="K498" s="560"/>
      <c r="L498" s="528"/>
      <c r="M498" s="528"/>
    </row>
    <row r="499" spans="1:13" s="42" customFormat="1" ht="20.100000000000001" customHeight="1">
      <c r="A499" s="90"/>
      <c r="B499" s="183" t="s">
        <v>394</v>
      </c>
      <c r="C499" s="192"/>
      <c r="D499" s="92"/>
      <c r="E499" s="93"/>
      <c r="F499" s="91"/>
      <c r="G499" s="47"/>
      <c r="H499" s="535"/>
      <c r="I499" s="552"/>
      <c r="J499" s="571"/>
      <c r="K499" s="560"/>
      <c r="L499" s="528"/>
      <c r="M499" s="528"/>
    </row>
    <row r="500" spans="1:13" s="42" customFormat="1" ht="20.100000000000001" customHeight="1">
      <c r="A500" s="66">
        <v>1</v>
      </c>
      <c r="B500" s="278" t="s">
        <v>235</v>
      </c>
      <c r="C500" s="184"/>
      <c r="D500" s="64">
        <v>115.9092</v>
      </c>
      <c r="E500" s="65" t="s">
        <v>40</v>
      </c>
      <c r="F500" s="277">
        <v>10000</v>
      </c>
      <c r="G500" s="67">
        <f t="shared" ref="G500:G514" si="166">D500*F500</f>
        <v>1159092</v>
      </c>
      <c r="H500" s="535"/>
      <c r="I500" s="277">
        <v>10839.583333333334</v>
      </c>
      <c r="J500" s="560">
        <f t="shared" ref="J500:J560" si="167">D500*I500</f>
        <v>1256407.4325000001</v>
      </c>
      <c r="K500" s="560">
        <f t="shared" si="156"/>
        <v>92.254468575821633</v>
      </c>
      <c r="L500" s="528"/>
      <c r="M500" s="528"/>
    </row>
    <row r="501" spans="1:13" s="42" customFormat="1" ht="20.100000000000001" customHeight="1">
      <c r="A501" s="66">
        <f t="shared" ref="A501:A514" si="168">A500+1</f>
        <v>2</v>
      </c>
      <c r="B501" s="272" t="s">
        <v>37</v>
      </c>
      <c r="C501" s="273"/>
      <c r="D501" s="274">
        <v>18.72</v>
      </c>
      <c r="E501" s="45" t="s">
        <v>38</v>
      </c>
      <c r="F501" s="46">
        <f>F447</f>
        <v>90000</v>
      </c>
      <c r="G501" s="67">
        <f t="shared" si="166"/>
        <v>1684800</v>
      </c>
      <c r="H501" s="535"/>
      <c r="I501" s="46">
        <v>68612.5</v>
      </c>
      <c r="J501" s="560">
        <f t="shared" si="167"/>
        <v>1284426</v>
      </c>
      <c r="K501" s="560">
        <f t="shared" si="156"/>
        <v>131.17143377664419</v>
      </c>
      <c r="L501" s="528"/>
      <c r="M501" s="528"/>
    </row>
    <row r="502" spans="1:13" s="42" customFormat="1" ht="20.100000000000001" customHeight="1">
      <c r="A502" s="271">
        <f t="shared" si="168"/>
        <v>3</v>
      </c>
      <c r="B502" s="272" t="s">
        <v>10</v>
      </c>
      <c r="C502" s="273"/>
      <c r="D502" s="274">
        <v>1.1268</v>
      </c>
      <c r="E502" s="45" t="s">
        <v>38</v>
      </c>
      <c r="F502" s="46">
        <f>F480</f>
        <v>350000</v>
      </c>
      <c r="G502" s="67">
        <f t="shared" si="166"/>
        <v>394380</v>
      </c>
      <c r="H502" s="535"/>
      <c r="I502" s="46">
        <v>257207.50000000003</v>
      </c>
      <c r="J502" s="560">
        <f t="shared" si="167"/>
        <v>289821.41100000002</v>
      </c>
      <c r="K502" s="560">
        <f t="shared" si="156"/>
        <v>136.07690288969022</v>
      </c>
      <c r="L502" s="528"/>
      <c r="M502" s="528"/>
    </row>
    <row r="503" spans="1:13" s="42" customFormat="1" ht="20.100000000000001" customHeight="1">
      <c r="A503" s="66">
        <f t="shared" si="168"/>
        <v>4</v>
      </c>
      <c r="B503" s="278" t="s">
        <v>179</v>
      </c>
      <c r="C503" s="184"/>
      <c r="D503" s="64">
        <v>11.590920000000001</v>
      </c>
      <c r="E503" s="65" t="s">
        <v>38</v>
      </c>
      <c r="F503" s="277">
        <f>F479</f>
        <v>250000</v>
      </c>
      <c r="G503" s="67">
        <f t="shared" si="166"/>
        <v>2897730</v>
      </c>
      <c r="H503" s="535"/>
      <c r="I503" s="277">
        <v>250318.75000000003</v>
      </c>
      <c r="J503" s="560">
        <f t="shared" si="167"/>
        <v>2901424.6057500006</v>
      </c>
      <c r="K503" s="560">
        <f t="shared" si="156"/>
        <v>99.872662355496729</v>
      </c>
      <c r="L503" s="528"/>
      <c r="M503" s="528"/>
    </row>
    <row r="504" spans="1:13" s="42" customFormat="1" ht="20.100000000000001" customHeight="1">
      <c r="A504" s="66">
        <f t="shared" si="168"/>
        <v>5</v>
      </c>
      <c r="B504" s="272" t="s">
        <v>50</v>
      </c>
      <c r="C504" s="273"/>
      <c r="D504" s="274">
        <v>7.7857199999999995</v>
      </c>
      <c r="E504" s="45" t="s">
        <v>38</v>
      </c>
      <c r="F504" s="46">
        <f>F454</f>
        <v>900000</v>
      </c>
      <c r="G504" s="67">
        <f t="shared" si="166"/>
        <v>7007148</v>
      </c>
      <c r="H504" s="535"/>
      <c r="I504" s="46">
        <v>1120599.7000000002</v>
      </c>
      <c r="J504" s="560">
        <f t="shared" si="167"/>
        <v>8724675.4962840006</v>
      </c>
      <c r="K504" s="560">
        <f t="shared" si="156"/>
        <v>80.314138938284557</v>
      </c>
      <c r="L504" s="528"/>
      <c r="M504" s="528"/>
    </row>
    <row r="505" spans="1:13" s="42" customFormat="1" ht="20.100000000000001" customHeight="1">
      <c r="A505" s="66">
        <f t="shared" si="168"/>
        <v>6</v>
      </c>
      <c r="B505" s="280" t="s">
        <v>167</v>
      </c>
      <c r="C505" s="281"/>
      <c r="D505" s="64">
        <v>1.1340000000000001</v>
      </c>
      <c r="E505" s="81" t="s">
        <v>70</v>
      </c>
      <c r="F505" s="283">
        <f>F483</f>
        <v>4000000</v>
      </c>
      <c r="G505" s="67">
        <f t="shared" si="166"/>
        <v>4536000.0000000009</v>
      </c>
      <c r="H505" s="535"/>
      <c r="I505" s="541">
        <v>3011394.5462962966</v>
      </c>
      <c r="J505" s="560">
        <f t="shared" si="167"/>
        <v>3414921.4155000006</v>
      </c>
      <c r="K505" s="560">
        <f t="shared" si="156"/>
        <v>132.82882526700413</v>
      </c>
      <c r="L505" s="528"/>
      <c r="M505" s="528"/>
    </row>
    <row r="506" spans="1:13" s="42" customFormat="1" ht="20.100000000000001" customHeight="1">
      <c r="A506" s="66">
        <f t="shared" si="168"/>
        <v>7</v>
      </c>
      <c r="B506" s="272" t="s">
        <v>103</v>
      </c>
      <c r="C506" s="273"/>
      <c r="D506" s="274">
        <v>30.24</v>
      </c>
      <c r="E506" s="45" t="s">
        <v>40</v>
      </c>
      <c r="F506" s="46">
        <f>F491</f>
        <v>40000</v>
      </c>
      <c r="G506" s="67">
        <f t="shared" si="166"/>
        <v>1209600</v>
      </c>
      <c r="H506" s="535"/>
      <c r="I506" s="46">
        <v>45665.675000000003</v>
      </c>
      <c r="J506" s="560">
        <f t="shared" si="167"/>
        <v>1380930.0120000001</v>
      </c>
      <c r="K506" s="560">
        <f t="shared" si="156"/>
        <v>87.5931429897839</v>
      </c>
      <c r="L506" s="528"/>
      <c r="M506" s="528"/>
    </row>
    <row r="507" spans="1:13" s="42" customFormat="1" ht="20.100000000000001" customHeight="1">
      <c r="A507" s="66">
        <f t="shared" si="168"/>
        <v>8</v>
      </c>
      <c r="B507" s="278" t="s">
        <v>133</v>
      </c>
      <c r="C507" s="184"/>
      <c r="D507" s="64">
        <v>115.9092</v>
      </c>
      <c r="E507" s="65" t="s">
        <v>56</v>
      </c>
      <c r="F507" s="277">
        <f>F495</f>
        <v>161000</v>
      </c>
      <c r="G507" s="67">
        <f t="shared" si="166"/>
        <v>18661381.199999999</v>
      </c>
      <c r="H507" s="535"/>
      <c r="I507" s="277">
        <v>166919.5</v>
      </c>
      <c r="J507" s="560">
        <f t="shared" si="167"/>
        <v>19347505.709399998</v>
      </c>
      <c r="K507" s="560">
        <f t="shared" si="156"/>
        <v>96.453679767792252</v>
      </c>
      <c r="L507" s="528"/>
      <c r="M507" s="528"/>
    </row>
    <row r="508" spans="1:13" s="42" customFormat="1" ht="20.100000000000001" customHeight="1">
      <c r="A508" s="66">
        <f t="shared" si="168"/>
        <v>9</v>
      </c>
      <c r="B508" s="278" t="s">
        <v>57</v>
      </c>
      <c r="C508" s="184"/>
      <c r="D508" s="64">
        <v>226.6</v>
      </c>
      <c r="E508" s="65" t="s">
        <v>52</v>
      </c>
      <c r="F508" s="277">
        <f>F496</f>
        <v>94800</v>
      </c>
      <c r="G508" s="67">
        <f t="shared" si="166"/>
        <v>21481680</v>
      </c>
      <c r="H508" s="535"/>
      <c r="I508" s="277">
        <v>138898.375</v>
      </c>
      <c r="J508" s="560">
        <f t="shared" si="167"/>
        <v>31474371.774999999</v>
      </c>
      <c r="K508" s="560">
        <f t="shared" si="156"/>
        <v>68.251338433584991</v>
      </c>
      <c r="L508" s="528"/>
      <c r="M508" s="528"/>
    </row>
    <row r="509" spans="1:13" s="42" customFormat="1" ht="20.100000000000001" customHeight="1">
      <c r="A509" s="207">
        <f t="shared" si="168"/>
        <v>10</v>
      </c>
      <c r="B509" s="521" t="s">
        <v>59</v>
      </c>
      <c r="C509" s="522"/>
      <c r="D509" s="523">
        <v>1</v>
      </c>
      <c r="E509" s="524" t="s">
        <v>60</v>
      </c>
      <c r="F509" s="277">
        <v>250000</v>
      </c>
      <c r="G509" s="199">
        <f t="shared" si="166"/>
        <v>250000</v>
      </c>
      <c r="H509" s="535"/>
      <c r="I509" s="277">
        <v>95000</v>
      </c>
      <c r="J509" s="560">
        <f t="shared" si="167"/>
        <v>95000</v>
      </c>
      <c r="K509" s="560">
        <f t="shared" si="156"/>
        <v>263.15789473684214</v>
      </c>
      <c r="L509" s="528"/>
      <c r="M509" s="528"/>
    </row>
    <row r="510" spans="1:13" s="42" customFormat="1" ht="20.100000000000001" customHeight="1">
      <c r="A510" s="207">
        <f t="shared" si="168"/>
        <v>11</v>
      </c>
      <c r="B510" s="521" t="s">
        <v>568</v>
      </c>
      <c r="C510" s="525"/>
      <c r="D510" s="523">
        <v>1</v>
      </c>
      <c r="E510" s="519" t="s">
        <v>38</v>
      </c>
      <c r="F510" s="277">
        <v>500000</v>
      </c>
      <c r="G510" s="199">
        <f t="shared" si="166"/>
        <v>500000</v>
      </c>
      <c r="H510" s="535"/>
      <c r="I510" s="277">
        <v>280000</v>
      </c>
      <c r="J510" s="560">
        <f t="shared" si="167"/>
        <v>280000</v>
      </c>
      <c r="K510" s="560">
        <f t="shared" si="156"/>
        <v>178.57142857142858</v>
      </c>
      <c r="L510" s="528"/>
      <c r="M510" s="528"/>
    </row>
    <row r="511" spans="1:13" s="42" customFormat="1" ht="20.100000000000001" customHeight="1">
      <c r="A511" s="207">
        <f t="shared" si="168"/>
        <v>12</v>
      </c>
      <c r="B511" s="521" t="s">
        <v>569</v>
      </c>
      <c r="C511" s="522"/>
      <c r="D511" s="523">
        <v>10</v>
      </c>
      <c r="E511" s="519" t="s">
        <v>102</v>
      </c>
      <c r="F511" s="520">
        <v>20000</v>
      </c>
      <c r="G511" s="199">
        <f t="shared" si="166"/>
        <v>200000</v>
      </c>
      <c r="H511" s="535"/>
      <c r="I511" s="554">
        <v>14000</v>
      </c>
      <c r="J511" s="560">
        <f t="shared" si="167"/>
        <v>140000</v>
      </c>
      <c r="K511" s="560">
        <f t="shared" si="156"/>
        <v>142.85714285714286</v>
      </c>
      <c r="L511" s="528"/>
      <c r="M511" s="528"/>
    </row>
    <row r="512" spans="1:13" s="42" customFormat="1" ht="20.100000000000001" customHeight="1">
      <c r="A512" s="207">
        <f t="shared" si="168"/>
        <v>13</v>
      </c>
      <c r="B512" s="521" t="s">
        <v>570</v>
      </c>
      <c r="C512" s="522"/>
      <c r="D512" s="523">
        <v>10</v>
      </c>
      <c r="E512" s="519" t="s">
        <v>102</v>
      </c>
      <c r="F512" s="520">
        <f>F511</f>
        <v>20000</v>
      </c>
      <c r="G512" s="199">
        <f t="shared" si="166"/>
        <v>200000</v>
      </c>
      <c r="H512" s="535"/>
      <c r="I512" s="554">
        <v>14000</v>
      </c>
      <c r="J512" s="560">
        <f t="shared" si="167"/>
        <v>140000</v>
      </c>
      <c r="K512" s="560">
        <f t="shared" si="156"/>
        <v>142.85714285714286</v>
      </c>
      <c r="L512" s="528"/>
      <c r="M512" s="528"/>
    </row>
    <row r="513" spans="1:13" s="42" customFormat="1" ht="20.100000000000001" customHeight="1">
      <c r="A513" s="207">
        <f t="shared" si="168"/>
        <v>14</v>
      </c>
      <c r="B513" s="521" t="s">
        <v>571</v>
      </c>
      <c r="C513" s="522"/>
      <c r="D513" s="523">
        <v>10</v>
      </c>
      <c r="E513" s="519" t="s">
        <v>102</v>
      </c>
      <c r="F513" s="520">
        <v>50000</v>
      </c>
      <c r="G513" s="199">
        <f t="shared" si="166"/>
        <v>500000</v>
      </c>
      <c r="H513" s="535"/>
      <c r="I513" s="554">
        <v>12500</v>
      </c>
      <c r="J513" s="560">
        <f t="shared" si="167"/>
        <v>125000</v>
      </c>
      <c r="K513" s="560">
        <f t="shared" si="156"/>
        <v>400</v>
      </c>
      <c r="L513" s="528"/>
      <c r="M513" s="528"/>
    </row>
    <row r="514" spans="1:13" s="42" customFormat="1" ht="20.100000000000001" customHeight="1">
      <c r="A514" s="207">
        <f t="shared" si="168"/>
        <v>15</v>
      </c>
      <c r="B514" s="521" t="s">
        <v>572</v>
      </c>
      <c r="C514" s="522"/>
      <c r="D514" s="523">
        <v>10</v>
      </c>
      <c r="E514" s="519" t="s">
        <v>102</v>
      </c>
      <c r="F514" s="520">
        <v>30000</v>
      </c>
      <c r="G514" s="199">
        <f t="shared" si="166"/>
        <v>300000</v>
      </c>
      <c r="H514" s="535"/>
      <c r="I514" s="554">
        <v>37000</v>
      </c>
      <c r="J514" s="560">
        <f t="shared" si="167"/>
        <v>370000</v>
      </c>
      <c r="K514" s="560">
        <f t="shared" si="156"/>
        <v>81.081081081081081</v>
      </c>
      <c r="L514" s="528"/>
      <c r="M514" s="528"/>
    </row>
    <row r="515" spans="1:13" s="42" customFormat="1" ht="20.100000000000001" customHeight="1">
      <c r="A515" s="90"/>
      <c r="B515" s="183" t="s">
        <v>395</v>
      </c>
      <c r="C515" s="192"/>
      <c r="D515" s="92"/>
      <c r="E515" s="93"/>
      <c r="F515" s="91"/>
      <c r="G515" s="47"/>
      <c r="H515" s="535"/>
      <c r="I515" s="552"/>
      <c r="J515" s="560">
        <f t="shared" si="167"/>
        <v>0</v>
      </c>
      <c r="K515" s="560"/>
      <c r="L515" s="528"/>
      <c r="M515" s="528"/>
    </row>
    <row r="516" spans="1:13" s="42" customFormat="1" ht="20.100000000000001" customHeight="1">
      <c r="A516" s="66">
        <f>1+A514</f>
        <v>16</v>
      </c>
      <c r="B516" s="310" t="s">
        <v>235</v>
      </c>
      <c r="C516" s="311"/>
      <c r="D516" s="64">
        <v>64.322900000000004</v>
      </c>
      <c r="E516" s="65" t="s">
        <v>40</v>
      </c>
      <c r="F516" s="277">
        <f>F500</f>
        <v>10000</v>
      </c>
      <c r="G516" s="67">
        <f t="shared" ref="G516:G532" si="169">D516*F516</f>
        <v>643229</v>
      </c>
      <c r="H516" s="535"/>
      <c r="I516" s="277">
        <v>10839.583333333334</v>
      </c>
      <c r="J516" s="560">
        <f t="shared" si="167"/>
        <v>697233.4347916668</v>
      </c>
      <c r="K516" s="560">
        <f t="shared" si="156"/>
        <v>92.254468575821633</v>
      </c>
      <c r="L516" s="528"/>
      <c r="M516" s="528"/>
    </row>
    <row r="517" spans="1:13" s="42" customFormat="1" ht="20.100000000000001" customHeight="1">
      <c r="A517" s="66">
        <f t="shared" ref="A517:A532" si="170">A516+1</f>
        <v>17</v>
      </c>
      <c r="B517" s="297" t="s">
        <v>37</v>
      </c>
      <c r="C517" s="312"/>
      <c r="D517" s="274">
        <v>14.399999999999999</v>
      </c>
      <c r="E517" s="45" t="s">
        <v>38</v>
      </c>
      <c r="F517" s="277">
        <f t="shared" ref="F517:F526" si="171">F501</f>
        <v>90000</v>
      </c>
      <c r="G517" s="67">
        <f t="shared" si="169"/>
        <v>1295999.9999999998</v>
      </c>
      <c r="H517" s="535"/>
      <c r="I517" s="46">
        <v>68612.5</v>
      </c>
      <c r="J517" s="560">
        <f t="shared" si="167"/>
        <v>988019.99999999988</v>
      </c>
      <c r="K517" s="560">
        <f t="shared" si="156"/>
        <v>131.17143377664419</v>
      </c>
      <c r="L517" s="528"/>
      <c r="M517" s="528"/>
    </row>
    <row r="518" spans="1:13" s="42" customFormat="1" ht="20.100000000000001" customHeight="1">
      <c r="A518" s="271">
        <f t="shared" si="170"/>
        <v>18</v>
      </c>
      <c r="B518" s="297" t="s">
        <v>10</v>
      </c>
      <c r="C518" s="312"/>
      <c r="D518" s="274">
        <v>0.72</v>
      </c>
      <c r="E518" s="45" t="s">
        <v>38</v>
      </c>
      <c r="F518" s="277">
        <f t="shared" si="171"/>
        <v>350000</v>
      </c>
      <c r="G518" s="67">
        <f t="shared" si="169"/>
        <v>252000</v>
      </c>
      <c r="H518" s="535"/>
      <c r="I518" s="46">
        <v>257207.50000000003</v>
      </c>
      <c r="J518" s="560">
        <f t="shared" si="167"/>
        <v>185189.40000000002</v>
      </c>
      <c r="K518" s="560">
        <f t="shared" si="156"/>
        <v>136.07690288969022</v>
      </c>
      <c r="L518" s="528"/>
      <c r="M518" s="528"/>
    </row>
    <row r="519" spans="1:13" s="42" customFormat="1" ht="20.100000000000001" customHeight="1">
      <c r="A519" s="66">
        <f t="shared" si="170"/>
        <v>19</v>
      </c>
      <c r="B519" s="310" t="s">
        <v>179</v>
      </c>
      <c r="C519" s="311"/>
      <c r="D519" s="64">
        <v>6.432290000000001</v>
      </c>
      <c r="E519" s="65" t="s">
        <v>38</v>
      </c>
      <c r="F519" s="277">
        <f t="shared" si="171"/>
        <v>250000</v>
      </c>
      <c r="G519" s="67">
        <f t="shared" si="169"/>
        <v>1608072.5000000002</v>
      </c>
      <c r="H519" s="535"/>
      <c r="I519" s="277">
        <v>250318.75000000003</v>
      </c>
      <c r="J519" s="560">
        <f t="shared" si="167"/>
        <v>1610122.7924375003</v>
      </c>
      <c r="K519" s="560">
        <f t="shared" si="156"/>
        <v>99.872662355496729</v>
      </c>
      <c r="L519" s="528"/>
      <c r="M519" s="528"/>
    </row>
    <row r="520" spans="1:13" s="42" customFormat="1" ht="20.100000000000001" customHeight="1">
      <c r="A520" s="66">
        <f t="shared" si="170"/>
        <v>20</v>
      </c>
      <c r="B520" s="297" t="s">
        <v>50</v>
      </c>
      <c r="C520" s="312"/>
      <c r="D520" s="274">
        <v>5.2200000000000006</v>
      </c>
      <c r="E520" s="45" t="s">
        <v>38</v>
      </c>
      <c r="F520" s="277">
        <f t="shared" si="171"/>
        <v>900000</v>
      </c>
      <c r="G520" s="67">
        <f t="shared" si="169"/>
        <v>4698000.0000000009</v>
      </c>
      <c r="H520" s="535"/>
      <c r="I520" s="46">
        <v>1120599.7000000002</v>
      </c>
      <c r="J520" s="560">
        <f t="shared" si="167"/>
        <v>5849530.4340000013</v>
      </c>
      <c r="K520" s="560">
        <f t="shared" si="156"/>
        <v>80.314138938284557</v>
      </c>
      <c r="L520" s="528"/>
      <c r="M520" s="528"/>
    </row>
    <row r="521" spans="1:13" s="42" customFormat="1" ht="20.100000000000001" customHeight="1">
      <c r="A521" s="66">
        <f t="shared" si="170"/>
        <v>21</v>
      </c>
      <c r="B521" s="286" t="s">
        <v>167</v>
      </c>
      <c r="C521" s="281"/>
      <c r="D521" s="64">
        <v>0.72900000000000009</v>
      </c>
      <c r="E521" s="81" t="s">
        <v>70</v>
      </c>
      <c r="F521" s="277">
        <f t="shared" si="171"/>
        <v>4000000</v>
      </c>
      <c r="G521" s="67">
        <f t="shared" si="169"/>
        <v>2916000.0000000005</v>
      </c>
      <c r="H521" s="535"/>
      <c r="I521" s="541">
        <v>3011394.5462962966</v>
      </c>
      <c r="J521" s="560">
        <f t="shared" si="167"/>
        <v>2195306.6242500003</v>
      </c>
      <c r="K521" s="560">
        <f t="shared" si="156"/>
        <v>132.82882526700413</v>
      </c>
      <c r="L521" s="528"/>
      <c r="M521" s="528"/>
    </row>
    <row r="522" spans="1:13" s="42" customFormat="1" ht="20.100000000000001" customHeight="1">
      <c r="A522" s="66">
        <f t="shared" si="170"/>
        <v>22</v>
      </c>
      <c r="B522" s="297" t="s">
        <v>103</v>
      </c>
      <c r="C522" s="312"/>
      <c r="D522" s="274">
        <v>21.599999999999998</v>
      </c>
      <c r="E522" s="45" t="s">
        <v>40</v>
      </c>
      <c r="F522" s="277">
        <f t="shared" si="171"/>
        <v>40000</v>
      </c>
      <c r="G522" s="67">
        <f t="shared" si="169"/>
        <v>863999.99999999988</v>
      </c>
      <c r="H522" s="535"/>
      <c r="I522" s="46">
        <v>45665.675000000003</v>
      </c>
      <c r="J522" s="560">
        <f t="shared" si="167"/>
        <v>986378.58</v>
      </c>
      <c r="K522" s="560">
        <f t="shared" si="156"/>
        <v>87.5931429897839</v>
      </c>
      <c r="L522" s="528"/>
      <c r="M522" s="528"/>
    </row>
    <row r="523" spans="1:13" s="42" customFormat="1" ht="20.100000000000001" customHeight="1">
      <c r="A523" s="66">
        <f t="shared" si="170"/>
        <v>23</v>
      </c>
      <c r="B523" s="310" t="s">
        <v>133</v>
      </c>
      <c r="C523" s="311"/>
      <c r="D523" s="64">
        <v>64.322900000000004</v>
      </c>
      <c r="E523" s="65" t="s">
        <v>56</v>
      </c>
      <c r="F523" s="277">
        <f t="shared" si="171"/>
        <v>161000</v>
      </c>
      <c r="G523" s="67">
        <f t="shared" si="169"/>
        <v>10355986.9</v>
      </c>
      <c r="H523" s="535"/>
      <c r="I523" s="277">
        <v>166919.5</v>
      </c>
      <c r="J523" s="560">
        <f t="shared" si="167"/>
        <v>10736746.30655</v>
      </c>
      <c r="K523" s="560">
        <f t="shared" si="156"/>
        <v>96.453679767792252</v>
      </c>
      <c r="L523" s="528"/>
      <c r="M523" s="528"/>
    </row>
    <row r="524" spans="1:13" s="42" customFormat="1" ht="20.100000000000001" customHeight="1">
      <c r="A524" s="66">
        <f t="shared" si="170"/>
        <v>24</v>
      </c>
      <c r="B524" s="310" t="s">
        <v>57</v>
      </c>
      <c r="C524" s="311"/>
      <c r="D524" s="64">
        <v>130.57999999999998</v>
      </c>
      <c r="E524" s="65" t="s">
        <v>52</v>
      </c>
      <c r="F524" s="277">
        <f t="shared" si="171"/>
        <v>94800</v>
      </c>
      <c r="G524" s="67">
        <f t="shared" si="169"/>
        <v>12378983.999999998</v>
      </c>
      <c r="H524" s="535"/>
      <c r="I524" s="277">
        <v>138898.375</v>
      </c>
      <c r="J524" s="560">
        <f t="shared" si="167"/>
        <v>18137349.807499997</v>
      </c>
      <c r="K524" s="576">
        <f t="shared" si="156"/>
        <v>68.251338433584991</v>
      </c>
      <c r="L524" s="528"/>
      <c r="M524" s="528"/>
    </row>
    <row r="525" spans="1:13" s="42" customFormat="1" ht="20.100000000000001" customHeight="1">
      <c r="A525" s="207">
        <f t="shared" si="170"/>
        <v>25</v>
      </c>
      <c r="B525" s="521" t="s">
        <v>59</v>
      </c>
      <c r="C525" s="522"/>
      <c r="D525" s="523">
        <v>1</v>
      </c>
      <c r="E525" s="524" t="s">
        <v>60</v>
      </c>
      <c r="F525" s="277">
        <f t="shared" si="171"/>
        <v>250000</v>
      </c>
      <c r="G525" s="199">
        <f t="shared" si="169"/>
        <v>250000</v>
      </c>
      <c r="H525" s="535"/>
      <c r="I525" s="277">
        <v>74545.08600000001</v>
      </c>
      <c r="J525" s="560">
        <f t="shared" si="167"/>
        <v>74545.08600000001</v>
      </c>
      <c r="K525" s="560">
        <f t="shared" si="156"/>
        <v>335.36751168279551</v>
      </c>
      <c r="L525" s="528"/>
      <c r="M525" s="528"/>
    </row>
    <row r="526" spans="1:13" s="42" customFormat="1" ht="20.100000000000001" customHeight="1">
      <c r="A526" s="207">
        <f t="shared" si="170"/>
        <v>26</v>
      </c>
      <c r="B526" s="521" t="s">
        <v>573</v>
      </c>
      <c r="C526" s="525"/>
      <c r="D526" s="523">
        <v>1</v>
      </c>
      <c r="E526" s="519" t="s">
        <v>38</v>
      </c>
      <c r="F526" s="277">
        <f t="shared" si="171"/>
        <v>500000</v>
      </c>
      <c r="G526" s="199">
        <f t="shared" si="169"/>
        <v>500000</v>
      </c>
      <c r="H526" s="535"/>
      <c r="I526" s="277">
        <v>45665.675000000003</v>
      </c>
      <c r="J526" s="560">
        <f t="shared" si="167"/>
        <v>45665.675000000003</v>
      </c>
      <c r="K526" s="560">
        <f t="shared" ref="K526:K587" si="172">F526/I526*100</f>
        <v>1094.9142873722988</v>
      </c>
      <c r="L526" s="528"/>
      <c r="M526" s="528"/>
    </row>
    <row r="527" spans="1:13" s="42" customFormat="1" ht="20.100000000000001" customHeight="1">
      <c r="A527" s="207">
        <f t="shared" si="170"/>
        <v>27</v>
      </c>
      <c r="B527" s="521" t="s">
        <v>574</v>
      </c>
      <c r="C527" s="522"/>
      <c r="D527" s="523">
        <v>10</v>
      </c>
      <c r="E527" s="519" t="s">
        <v>102</v>
      </c>
      <c r="F527" s="520">
        <v>50000</v>
      </c>
      <c r="G527" s="199">
        <f t="shared" si="169"/>
        <v>500000</v>
      </c>
      <c r="H527" s="535"/>
      <c r="I527" s="554">
        <v>12500</v>
      </c>
      <c r="J527" s="560">
        <f t="shared" si="167"/>
        <v>125000</v>
      </c>
      <c r="K527" s="560">
        <f t="shared" si="172"/>
        <v>400</v>
      </c>
      <c r="L527" s="528"/>
      <c r="M527" s="528"/>
    </row>
    <row r="528" spans="1:13" s="42" customFormat="1" ht="20.100000000000001" customHeight="1">
      <c r="A528" s="207">
        <f t="shared" si="170"/>
        <v>28</v>
      </c>
      <c r="B528" s="521" t="s">
        <v>575</v>
      </c>
      <c r="C528" s="522"/>
      <c r="D528" s="523">
        <v>10</v>
      </c>
      <c r="E528" s="519" t="s">
        <v>102</v>
      </c>
      <c r="F528" s="520">
        <v>30000</v>
      </c>
      <c r="G528" s="199">
        <f t="shared" si="169"/>
        <v>300000</v>
      </c>
      <c r="H528" s="535"/>
      <c r="I528" s="554">
        <v>25000</v>
      </c>
      <c r="J528" s="560">
        <f t="shared" si="167"/>
        <v>250000</v>
      </c>
      <c r="K528" s="560">
        <f t="shared" si="172"/>
        <v>120</v>
      </c>
      <c r="L528" s="528"/>
      <c r="M528" s="528"/>
    </row>
    <row r="529" spans="1:13" s="42" customFormat="1" ht="20.100000000000001" customHeight="1">
      <c r="A529" s="207">
        <f t="shared" si="170"/>
        <v>29</v>
      </c>
      <c r="B529" s="521" t="s">
        <v>576</v>
      </c>
      <c r="C529" s="522"/>
      <c r="D529" s="523">
        <v>10</v>
      </c>
      <c r="E529" s="519" t="s">
        <v>102</v>
      </c>
      <c r="F529" s="520">
        <v>100000</v>
      </c>
      <c r="G529" s="199">
        <f t="shared" si="169"/>
        <v>1000000</v>
      </c>
      <c r="H529" s="535"/>
      <c r="I529" s="554">
        <v>73000</v>
      </c>
      <c r="J529" s="560">
        <f t="shared" si="167"/>
        <v>730000</v>
      </c>
      <c r="K529" s="560">
        <f t="shared" si="172"/>
        <v>136.98630136986301</v>
      </c>
      <c r="L529" s="528"/>
      <c r="M529" s="528"/>
    </row>
    <row r="530" spans="1:13" s="42" customFormat="1" ht="20.100000000000001" customHeight="1">
      <c r="A530" s="207">
        <f t="shared" si="170"/>
        <v>30</v>
      </c>
      <c r="B530" s="521" t="s">
        <v>577</v>
      </c>
      <c r="C530" s="522"/>
      <c r="D530" s="523">
        <v>10</v>
      </c>
      <c r="E530" s="519" t="s">
        <v>102</v>
      </c>
      <c r="F530" s="520">
        <v>50000</v>
      </c>
      <c r="G530" s="199">
        <f t="shared" si="169"/>
        <v>500000</v>
      </c>
      <c r="H530" s="535"/>
      <c r="I530" s="554">
        <v>27000</v>
      </c>
      <c r="J530" s="560">
        <f t="shared" si="167"/>
        <v>270000</v>
      </c>
      <c r="K530" s="560">
        <f t="shared" si="172"/>
        <v>185.18518518518519</v>
      </c>
      <c r="L530" s="528"/>
      <c r="M530" s="528"/>
    </row>
    <row r="531" spans="1:13" s="42" customFormat="1" ht="20.100000000000001" customHeight="1">
      <c r="A531" s="207">
        <f t="shared" si="170"/>
        <v>31</v>
      </c>
      <c r="B531" s="521" t="s">
        <v>578</v>
      </c>
      <c r="C531" s="522"/>
      <c r="D531" s="523">
        <v>10</v>
      </c>
      <c r="E531" s="519" t="s">
        <v>102</v>
      </c>
      <c r="F531" s="520">
        <v>100000</v>
      </c>
      <c r="G531" s="199">
        <f t="shared" si="169"/>
        <v>1000000</v>
      </c>
      <c r="H531" s="535"/>
      <c r="I531" s="554">
        <v>22000</v>
      </c>
      <c r="J531" s="560">
        <f t="shared" si="167"/>
        <v>220000</v>
      </c>
      <c r="K531" s="560">
        <f t="shared" si="172"/>
        <v>454.54545454545456</v>
      </c>
      <c r="L531" s="528"/>
      <c r="M531" s="528"/>
    </row>
    <row r="532" spans="1:13" s="42" customFormat="1" ht="20.100000000000001" customHeight="1">
      <c r="A532" s="207">
        <f t="shared" si="170"/>
        <v>32</v>
      </c>
      <c r="B532" s="521" t="s">
        <v>579</v>
      </c>
      <c r="C532" s="522"/>
      <c r="D532" s="523">
        <v>10</v>
      </c>
      <c r="E532" s="519" t="s">
        <v>102</v>
      </c>
      <c r="F532" s="520">
        <v>30000</v>
      </c>
      <c r="G532" s="199">
        <f t="shared" si="169"/>
        <v>300000</v>
      </c>
      <c r="H532" s="535"/>
      <c r="I532" s="554">
        <v>12500</v>
      </c>
      <c r="J532" s="560">
        <f t="shared" si="167"/>
        <v>125000</v>
      </c>
      <c r="K532" s="560">
        <f t="shared" si="172"/>
        <v>240</v>
      </c>
      <c r="L532" s="528"/>
      <c r="M532" s="528"/>
    </row>
    <row r="533" spans="1:13" s="42" customFormat="1" ht="20.100000000000001" customHeight="1">
      <c r="A533" s="90"/>
      <c r="B533" s="183" t="s">
        <v>396</v>
      </c>
      <c r="C533" s="192"/>
      <c r="D533" s="92"/>
      <c r="E533" s="93"/>
      <c r="F533" s="91"/>
      <c r="G533" s="47"/>
      <c r="H533" s="535"/>
      <c r="I533" s="552"/>
      <c r="J533" s="560">
        <f t="shared" si="167"/>
        <v>0</v>
      </c>
      <c r="K533" s="560"/>
      <c r="L533" s="528"/>
      <c r="M533" s="528"/>
    </row>
    <row r="534" spans="1:13" s="42" customFormat="1" ht="20.100000000000001" customHeight="1">
      <c r="A534" s="66">
        <f>A532+1</f>
        <v>33</v>
      </c>
      <c r="B534" s="310" t="s">
        <v>235</v>
      </c>
      <c r="C534" s="311"/>
      <c r="D534" s="64">
        <v>25.742599999999999</v>
      </c>
      <c r="E534" s="65" t="s">
        <v>40</v>
      </c>
      <c r="F534" s="277">
        <f>F516</f>
        <v>10000</v>
      </c>
      <c r="G534" s="67">
        <f t="shared" ref="G534:G544" si="173">D534*F534</f>
        <v>257426</v>
      </c>
      <c r="H534" s="535"/>
      <c r="I534" s="277">
        <v>10839.583333333334</v>
      </c>
      <c r="J534" s="560">
        <f t="shared" si="167"/>
        <v>279039.05791666667</v>
      </c>
      <c r="K534" s="560">
        <f t="shared" si="172"/>
        <v>92.254468575821633</v>
      </c>
      <c r="L534" s="528"/>
      <c r="M534" s="528"/>
    </row>
    <row r="535" spans="1:13" s="42" customFormat="1" ht="20.100000000000001" customHeight="1">
      <c r="A535" s="66">
        <f t="shared" ref="A535:A552" si="174">A534+1</f>
        <v>34</v>
      </c>
      <c r="B535" s="297" t="s">
        <v>37</v>
      </c>
      <c r="C535" s="312"/>
      <c r="D535" s="274">
        <v>35.28</v>
      </c>
      <c r="E535" s="45" t="s">
        <v>38</v>
      </c>
      <c r="F535" s="277">
        <f t="shared" ref="F535:F544" si="175">F517</f>
        <v>90000</v>
      </c>
      <c r="G535" s="67">
        <f t="shared" si="173"/>
        <v>3175200</v>
      </c>
      <c r="H535" s="535"/>
      <c r="I535" s="277">
        <v>68612.5</v>
      </c>
      <c r="J535" s="560">
        <f t="shared" si="167"/>
        <v>2420649</v>
      </c>
      <c r="K535" s="560">
        <f t="shared" si="172"/>
        <v>131.17143377664419</v>
      </c>
      <c r="L535" s="528"/>
      <c r="M535" s="528"/>
    </row>
    <row r="536" spans="1:13" s="42" customFormat="1" ht="20.100000000000001" customHeight="1">
      <c r="A536" s="271">
        <f t="shared" si="174"/>
        <v>35</v>
      </c>
      <c r="B536" s="297" t="s">
        <v>10</v>
      </c>
      <c r="C536" s="312"/>
      <c r="D536" s="274">
        <v>1.7556</v>
      </c>
      <c r="E536" s="45" t="s">
        <v>38</v>
      </c>
      <c r="F536" s="277">
        <f t="shared" si="175"/>
        <v>350000</v>
      </c>
      <c r="G536" s="67">
        <f t="shared" si="173"/>
        <v>614460</v>
      </c>
      <c r="H536" s="535"/>
      <c r="I536" s="277">
        <v>257207.50000000003</v>
      </c>
      <c r="J536" s="560">
        <f t="shared" si="167"/>
        <v>451553.48700000008</v>
      </c>
      <c r="K536" s="560">
        <f t="shared" si="172"/>
        <v>136.07690288969022</v>
      </c>
      <c r="L536" s="528"/>
      <c r="M536" s="528"/>
    </row>
    <row r="537" spans="1:13" s="42" customFormat="1" ht="20.100000000000001" customHeight="1">
      <c r="A537" s="66">
        <f t="shared" si="174"/>
        <v>36</v>
      </c>
      <c r="B537" s="310" t="s">
        <v>179</v>
      </c>
      <c r="C537" s="311"/>
      <c r="D537" s="64">
        <v>2.5742600000000002</v>
      </c>
      <c r="E537" s="65" t="s">
        <v>38</v>
      </c>
      <c r="F537" s="277">
        <f t="shared" si="175"/>
        <v>250000</v>
      </c>
      <c r="G537" s="67">
        <f t="shared" si="173"/>
        <v>643565</v>
      </c>
      <c r="H537" s="535"/>
      <c r="I537" s="277">
        <v>250318.75000000003</v>
      </c>
      <c r="J537" s="560">
        <f t="shared" si="167"/>
        <v>644385.5453750001</v>
      </c>
      <c r="K537" s="560">
        <f t="shared" si="172"/>
        <v>99.872662355496729</v>
      </c>
      <c r="L537" s="528"/>
      <c r="M537" s="528"/>
    </row>
    <row r="538" spans="1:13" s="42" customFormat="1" ht="20.100000000000001" customHeight="1">
      <c r="A538" s="66">
        <f t="shared" si="174"/>
        <v>37</v>
      </c>
      <c r="B538" s="297" t="s">
        <v>50</v>
      </c>
      <c r="C538" s="312"/>
      <c r="D538" s="274">
        <v>11.843999999999999</v>
      </c>
      <c r="E538" s="45" t="s">
        <v>38</v>
      </c>
      <c r="F538" s="277">
        <f t="shared" si="175"/>
        <v>900000</v>
      </c>
      <c r="G538" s="67">
        <f t="shared" si="173"/>
        <v>10659600</v>
      </c>
      <c r="H538" s="535"/>
      <c r="I538" s="277">
        <v>1120599.7000000002</v>
      </c>
      <c r="J538" s="560">
        <f t="shared" si="167"/>
        <v>13272382.846800001</v>
      </c>
      <c r="K538" s="560">
        <f t="shared" si="172"/>
        <v>80.314138938284557</v>
      </c>
      <c r="L538" s="528"/>
      <c r="M538" s="528"/>
    </row>
    <row r="539" spans="1:13" s="42" customFormat="1" ht="20.100000000000001" customHeight="1">
      <c r="A539" s="66">
        <f t="shared" si="174"/>
        <v>38</v>
      </c>
      <c r="B539" s="286" t="s">
        <v>167</v>
      </c>
      <c r="C539" s="281"/>
      <c r="D539" s="64">
        <v>1.8900000000000001</v>
      </c>
      <c r="E539" s="81" t="s">
        <v>70</v>
      </c>
      <c r="F539" s="277">
        <f t="shared" si="175"/>
        <v>4000000</v>
      </c>
      <c r="G539" s="67">
        <f t="shared" si="173"/>
        <v>7560000.0000000009</v>
      </c>
      <c r="H539" s="535"/>
      <c r="I539" s="277">
        <v>3011394.5462962966</v>
      </c>
      <c r="J539" s="560">
        <f t="shared" si="167"/>
        <v>5691535.6925000008</v>
      </c>
      <c r="K539" s="560">
        <f t="shared" si="172"/>
        <v>132.82882526700413</v>
      </c>
      <c r="L539" s="528"/>
      <c r="M539" s="528"/>
    </row>
    <row r="540" spans="1:13" s="42" customFormat="1" ht="20.100000000000001" customHeight="1">
      <c r="A540" s="66">
        <f t="shared" si="174"/>
        <v>39</v>
      </c>
      <c r="B540" s="297" t="s">
        <v>103</v>
      </c>
      <c r="C540" s="312"/>
      <c r="D540" s="274">
        <v>50.399999999999991</v>
      </c>
      <c r="E540" s="45" t="s">
        <v>40</v>
      </c>
      <c r="F540" s="277">
        <f t="shared" si="175"/>
        <v>40000</v>
      </c>
      <c r="G540" s="67">
        <f t="shared" si="173"/>
        <v>2015999.9999999998</v>
      </c>
      <c r="H540" s="535"/>
      <c r="I540" s="277">
        <v>45665.675000000003</v>
      </c>
      <c r="J540" s="560">
        <f t="shared" si="167"/>
        <v>2301550.0199999996</v>
      </c>
      <c r="K540" s="560">
        <f t="shared" si="172"/>
        <v>87.5931429897839</v>
      </c>
      <c r="L540" s="528"/>
      <c r="M540" s="528"/>
    </row>
    <row r="541" spans="1:13" s="42" customFormat="1" ht="20.100000000000001" customHeight="1">
      <c r="A541" s="66">
        <f t="shared" si="174"/>
        <v>40</v>
      </c>
      <c r="B541" s="310" t="s">
        <v>133</v>
      </c>
      <c r="C541" s="311"/>
      <c r="D541" s="64">
        <v>25.742599999999999</v>
      </c>
      <c r="E541" s="65" t="s">
        <v>56</v>
      </c>
      <c r="F541" s="277">
        <f t="shared" si="175"/>
        <v>161000</v>
      </c>
      <c r="G541" s="67">
        <f t="shared" si="173"/>
        <v>4144558.6</v>
      </c>
      <c r="H541" s="535"/>
      <c r="I541" s="277">
        <v>166919.5</v>
      </c>
      <c r="J541" s="560">
        <f t="shared" si="167"/>
        <v>4296941.9206999997</v>
      </c>
      <c r="K541" s="560">
        <f t="shared" si="172"/>
        <v>96.453679767792252</v>
      </c>
      <c r="L541" s="528"/>
      <c r="M541" s="528"/>
    </row>
    <row r="542" spans="1:13" s="42" customFormat="1" ht="20.100000000000001" customHeight="1">
      <c r="A542" s="66">
        <f t="shared" si="174"/>
        <v>41</v>
      </c>
      <c r="B542" s="310" t="s">
        <v>57</v>
      </c>
      <c r="C542" s="311"/>
      <c r="D542" s="64">
        <v>51.36</v>
      </c>
      <c r="E542" s="65" t="s">
        <v>52</v>
      </c>
      <c r="F542" s="277">
        <f t="shared" si="175"/>
        <v>94800</v>
      </c>
      <c r="G542" s="67">
        <f t="shared" si="173"/>
        <v>4868928</v>
      </c>
      <c r="H542" s="535"/>
      <c r="I542" s="277">
        <v>138898.375</v>
      </c>
      <c r="J542" s="560">
        <f t="shared" si="167"/>
        <v>7133820.54</v>
      </c>
      <c r="K542" s="576">
        <f t="shared" si="172"/>
        <v>68.251338433584991</v>
      </c>
      <c r="L542" s="528"/>
      <c r="M542" s="528"/>
    </row>
    <row r="543" spans="1:13" s="42" customFormat="1" ht="20.100000000000001" customHeight="1">
      <c r="A543" s="207">
        <f t="shared" si="174"/>
        <v>42</v>
      </c>
      <c r="B543" s="521" t="s">
        <v>59</v>
      </c>
      <c r="C543" s="522"/>
      <c r="D543" s="523">
        <v>1</v>
      </c>
      <c r="E543" s="524" t="s">
        <v>60</v>
      </c>
      <c r="F543" s="277">
        <f t="shared" si="175"/>
        <v>250000</v>
      </c>
      <c r="G543" s="199">
        <f t="shared" si="173"/>
        <v>250000</v>
      </c>
      <c r="H543" s="535"/>
      <c r="I543" s="277">
        <v>74545.08600000001</v>
      </c>
      <c r="J543" s="560">
        <f t="shared" si="167"/>
        <v>74545.08600000001</v>
      </c>
      <c r="K543" s="560">
        <f t="shared" si="172"/>
        <v>335.36751168279551</v>
      </c>
      <c r="L543" s="528"/>
      <c r="M543" s="528"/>
    </row>
    <row r="544" spans="1:13" s="42" customFormat="1" ht="20.100000000000001" customHeight="1">
      <c r="A544" s="207">
        <f t="shared" si="174"/>
        <v>43</v>
      </c>
      <c r="B544" s="521" t="s">
        <v>203</v>
      </c>
      <c r="C544" s="525"/>
      <c r="D544" s="523">
        <v>1</v>
      </c>
      <c r="E544" s="519" t="s">
        <v>38</v>
      </c>
      <c r="F544" s="277">
        <f t="shared" si="175"/>
        <v>500000</v>
      </c>
      <c r="G544" s="199">
        <f t="shared" si="173"/>
        <v>500000</v>
      </c>
      <c r="H544" s="535"/>
      <c r="I544" s="277">
        <v>45665.675000000003</v>
      </c>
      <c r="J544" s="560">
        <f t="shared" si="167"/>
        <v>45665.675000000003</v>
      </c>
      <c r="K544" s="560">
        <f t="shared" si="172"/>
        <v>1094.9142873722988</v>
      </c>
      <c r="L544" s="528"/>
      <c r="M544" s="528"/>
    </row>
    <row r="545" spans="1:13" s="42" customFormat="1" ht="20.100000000000001" customHeight="1">
      <c r="A545" s="207">
        <f t="shared" si="174"/>
        <v>44</v>
      </c>
      <c r="B545" s="521" t="s">
        <v>580</v>
      </c>
      <c r="C545" s="522"/>
      <c r="D545" s="523">
        <v>10</v>
      </c>
      <c r="E545" s="519" t="s">
        <v>102</v>
      </c>
      <c r="F545" s="520">
        <v>20000</v>
      </c>
      <c r="G545" s="199">
        <f>D545*F545</f>
        <v>200000</v>
      </c>
      <c r="H545" s="535"/>
      <c r="I545" s="554">
        <v>15000</v>
      </c>
      <c r="J545" s="560">
        <f t="shared" si="167"/>
        <v>150000</v>
      </c>
      <c r="K545" s="560">
        <f t="shared" si="172"/>
        <v>133.33333333333331</v>
      </c>
      <c r="L545" s="528"/>
      <c r="M545" s="528"/>
    </row>
    <row r="546" spans="1:13" s="42" customFormat="1" ht="20.100000000000001" customHeight="1">
      <c r="A546" s="207">
        <f t="shared" si="174"/>
        <v>45</v>
      </c>
      <c r="B546" s="521" t="s">
        <v>581</v>
      </c>
      <c r="C546" s="522"/>
      <c r="D546" s="523">
        <v>10</v>
      </c>
      <c r="E546" s="519" t="s">
        <v>102</v>
      </c>
      <c r="F546" s="520">
        <v>100000</v>
      </c>
      <c r="G546" s="199">
        <f t="shared" ref="G546:G552" si="176">D546*F546</f>
        <v>1000000</v>
      </c>
      <c r="H546" s="535"/>
      <c r="I546" s="554">
        <v>25000</v>
      </c>
      <c r="J546" s="560">
        <f t="shared" si="167"/>
        <v>250000</v>
      </c>
      <c r="K546" s="560">
        <f t="shared" si="172"/>
        <v>400</v>
      </c>
      <c r="L546" s="528"/>
      <c r="M546" s="528"/>
    </row>
    <row r="547" spans="1:13" s="42" customFormat="1" ht="20.100000000000001" customHeight="1">
      <c r="A547" s="207">
        <f t="shared" si="174"/>
        <v>46</v>
      </c>
      <c r="B547" s="521" t="s">
        <v>582</v>
      </c>
      <c r="C547" s="522"/>
      <c r="D547" s="523">
        <v>10</v>
      </c>
      <c r="E547" s="519" t="s">
        <v>102</v>
      </c>
      <c r="F547" s="520">
        <v>150000</v>
      </c>
      <c r="G547" s="199">
        <f t="shared" si="176"/>
        <v>1500000</v>
      </c>
      <c r="H547" s="535"/>
      <c r="I547" s="554">
        <v>12000</v>
      </c>
      <c r="J547" s="560">
        <f t="shared" si="167"/>
        <v>120000</v>
      </c>
      <c r="K547" s="560">
        <f t="shared" si="172"/>
        <v>1250</v>
      </c>
      <c r="L547" s="528"/>
      <c r="M547" s="528"/>
    </row>
    <row r="548" spans="1:13" s="42" customFormat="1" ht="20.100000000000001" customHeight="1">
      <c r="A548" s="207">
        <f t="shared" si="174"/>
        <v>47</v>
      </c>
      <c r="B548" s="521" t="s">
        <v>583</v>
      </c>
      <c r="C548" s="522"/>
      <c r="D548" s="523">
        <v>10</v>
      </c>
      <c r="E548" s="519" t="s">
        <v>102</v>
      </c>
      <c r="F548" s="520">
        <v>20000</v>
      </c>
      <c r="G548" s="199">
        <f t="shared" si="176"/>
        <v>200000</v>
      </c>
      <c r="H548" s="535"/>
      <c r="I548" s="554">
        <v>12500</v>
      </c>
      <c r="J548" s="560">
        <f t="shared" si="167"/>
        <v>125000</v>
      </c>
      <c r="K548" s="560">
        <f t="shared" si="172"/>
        <v>160</v>
      </c>
      <c r="L548" s="528"/>
      <c r="M548" s="528"/>
    </row>
    <row r="549" spans="1:13" s="42" customFormat="1" ht="20.100000000000001" customHeight="1">
      <c r="A549" s="207">
        <f t="shared" si="174"/>
        <v>48</v>
      </c>
      <c r="B549" s="521" t="s">
        <v>584</v>
      </c>
      <c r="C549" s="522"/>
      <c r="D549" s="523">
        <v>10</v>
      </c>
      <c r="E549" s="519" t="s">
        <v>102</v>
      </c>
      <c r="F549" s="520">
        <v>40000</v>
      </c>
      <c r="G549" s="199">
        <f t="shared" si="176"/>
        <v>400000</v>
      </c>
      <c r="H549" s="535"/>
      <c r="I549" s="554">
        <v>15000</v>
      </c>
      <c r="J549" s="560">
        <f t="shared" si="167"/>
        <v>150000</v>
      </c>
      <c r="K549" s="560">
        <f t="shared" si="172"/>
        <v>266.66666666666663</v>
      </c>
      <c r="L549" s="528"/>
      <c r="M549" s="528"/>
    </row>
    <row r="550" spans="1:13" s="42" customFormat="1" ht="20.100000000000001" customHeight="1">
      <c r="A550" s="207">
        <f t="shared" si="174"/>
        <v>49</v>
      </c>
      <c r="B550" s="521" t="s">
        <v>585</v>
      </c>
      <c r="C550" s="522"/>
      <c r="D550" s="523">
        <v>10</v>
      </c>
      <c r="E550" s="519" t="s">
        <v>102</v>
      </c>
      <c r="F550" s="520">
        <v>50000</v>
      </c>
      <c r="G550" s="199">
        <f t="shared" si="176"/>
        <v>500000</v>
      </c>
      <c r="H550" s="535"/>
      <c r="I550" s="554">
        <v>25000</v>
      </c>
      <c r="J550" s="560">
        <f t="shared" si="167"/>
        <v>250000</v>
      </c>
      <c r="K550" s="560">
        <f t="shared" si="172"/>
        <v>200</v>
      </c>
      <c r="L550" s="528"/>
      <c r="M550" s="528"/>
    </row>
    <row r="551" spans="1:13" s="42" customFormat="1" ht="20.100000000000001" customHeight="1">
      <c r="A551" s="207">
        <f t="shared" si="174"/>
        <v>50</v>
      </c>
      <c r="B551" s="521" t="s">
        <v>579</v>
      </c>
      <c r="C551" s="522"/>
      <c r="D551" s="523">
        <v>10</v>
      </c>
      <c r="E551" s="519" t="s">
        <v>102</v>
      </c>
      <c r="F551" s="520">
        <v>15000</v>
      </c>
      <c r="G551" s="199">
        <f t="shared" si="176"/>
        <v>150000</v>
      </c>
      <c r="H551" s="535"/>
      <c r="I551" s="554">
        <v>12500</v>
      </c>
      <c r="J551" s="560">
        <f t="shared" si="167"/>
        <v>125000</v>
      </c>
      <c r="K551" s="560">
        <f t="shared" si="172"/>
        <v>120</v>
      </c>
      <c r="L551" s="528"/>
      <c r="M551" s="528"/>
    </row>
    <row r="552" spans="1:13" s="42" customFormat="1" ht="20.100000000000001" customHeight="1">
      <c r="A552" s="207">
        <f t="shared" si="174"/>
        <v>51</v>
      </c>
      <c r="B552" s="521" t="s">
        <v>586</v>
      </c>
      <c r="C552" s="522"/>
      <c r="D552" s="523">
        <v>10</v>
      </c>
      <c r="E552" s="519" t="s">
        <v>102</v>
      </c>
      <c r="F552" s="520">
        <f>F531</f>
        <v>100000</v>
      </c>
      <c r="G552" s="199">
        <f t="shared" si="176"/>
        <v>1000000</v>
      </c>
      <c r="H552" s="535"/>
      <c r="I552" s="554">
        <v>22000</v>
      </c>
      <c r="J552" s="560">
        <f t="shared" si="167"/>
        <v>220000</v>
      </c>
      <c r="K552" s="560">
        <f t="shared" si="172"/>
        <v>454.54545454545456</v>
      </c>
      <c r="L552" s="528"/>
      <c r="M552" s="528"/>
    </row>
    <row r="553" spans="1:13" s="42" customFormat="1" ht="20.100000000000001" customHeight="1">
      <c r="A553" s="90"/>
      <c r="B553" s="183" t="s">
        <v>219</v>
      </c>
      <c r="C553" s="192"/>
      <c r="D553" s="92"/>
      <c r="E553" s="93"/>
      <c r="F553" s="91"/>
      <c r="G553" s="47"/>
      <c r="H553" s="535"/>
      <c r="I553" s="552"/>
      <c r="J553" s="560">
        <f t="shared" si="167"/>
        <v>0</v>
      </c>
      <c r="K553" s="560"/>
      <c r="L553" s="528"/>
      <c r="M553" s="528"/>
    </row>
    <row r="554" spans="1:13" s="42" customFormat="1" ht="20.100000000000001" customHeight="1">
      <c r="A554" s="66">
        <f>A552+1</f>
        <v>52</v>
      </c>
      <c r="B554" s="278" t="s">
        <v>39</v>
      </c>
      <c r="C554" s="184"/>
      <c r="D554" s="64">
        <v>112.437</v>
      </c>
      <c r="E554" s="65" t="s">
        <v>40</v>
      </c>
      <c r="F554" s="277">
        <f>F534</f>
        <v>10000</v>
      </c>
      <c r="G554" s="67">
        <f t="shared" ref="G554:G560" si="177">D554*F554</f>
        <v>1124370</v>
      </c>
      <c r="H554" s="535"/>
      <c r="I554" s="277">
        <v>10839.583333333334</v>
      </c>
      <c r="J554" s="560">
        <f t="shared" si="167"/>
        <v>1218770.23125</v>
      </c>
      <c r="K554" s="560">
        <f t="shared" si="172"/>
        <v>92.254468575821633</v>
      </c>
      <c r="L554" s="528"/>
      <c r="M554" s="528"/>
    </row>
    <row r="555" spans="1:13" s="42" customFormat="1" ht="20.100000000000001" customHeight="1">
      <c r="A555" s="66">
        <f t="shared" ref="A555:A557" si="178">A554+1</f>
        <v>53</v>
      </c>
      <c r="B555" s="278" t="s">
        <v>179</v>
      </c>
      <c r="C555" s="184"/>
      <c r="D555" s="64">
        <v>11.2437</v>
      </c>
      <c r="E555" s="65" t="s">
        <v>38</v>
      </c>
      <c r="F555" s="277">
        <f>F537</f>
        <v>250000</v>
      </c>
      <c r="G555" s="67">
        <f t="shared" si="177"/>
        <v>2810925</v>
      </c>
      <c r="H555" s="535"/>
      <c r="I555" s="277">
        <v>250318.75000000003</v>
      </c>
      <c r="J555" s="560">
        <f t="shared" si="167"/>
        <v>2814508.9293750003</v>
      </c>
      <c r="K555" s="560">
        <f t="shared" si="172"/>
        <v>99.872662355496729</v>
      </c>
      <c r="L555" s="528"/>
      <c r="M555" s="528"/>
    </row>
    <row r="556" spans="1:13" s="42" customFormat="1" ht="20.100000000000001" customHeight="1">
      <c r="A556" s="66">
        <f t="shared" si="178"/>
        <v>54</v>
      </c>
      <c r="B556" s="278" t="s">
        <v>133</v>
      </c>
      <c r="C556" s="184"/>
      <c r="D556" s="64">
        <v>112.437</v>
      </c>
      <c r="E556" s="65" t="s">
        <v>56</v>
      </c>
      <c r="F556" s="277">
        <f>F523</f>
        <v>161000</v>
      </c>
      <c r="G556" s="67">
        <f t="shared" si="177"/>
        <v>18102357</v>
      </c>
      <c r="H556" s="535"/>
      <c r="I556" s="277">
        <v>166919.5</v>
      </c>
      <c r="J556" s="560">
        <f t="shared" si="167"/>
        <v>18767927.8215</v>
      </c>
      <c r="K556" s="560">
        <f t="shared" si="172"/>
        <v>96.453679767792252</v>
      </c>
      <c r="L556" s="528"/>
      <c r="M556" s="528"/>
    </row>
    <row r="557" spans="1:13" s="42" customFormat="1" ht="20.100000000000001" customHeight="1">
      <c r="A557" s="66">
        <f t="shared" si="178"/>
        <v>55</v>
      </c>
      <c r="B557" s="278" t="s">
        <v>57</v>
      </c>
      <c r="C557" s="184"/>
      <c r="D557" s="64">
        <v>510.00999999999988</v>
      </c>
      <c r="E557" s="65" t="s">
        <v>52</v>
      </c>
      <c r="F557" s="277">
        <f>F542</f>
        <v>94800</v>
      </c>
      <c r="G557" s="67">
        <f t="shared" si="177"/>
        <v>48348947.999999985</v>
      </c>
      <c r="H557" s="535"/>
      <c r="I557" s="277">
        <v>138898.375</v>
      </c>
      <c r="J557" s="560">
        <f t="shared" si="167"/>
        <v>70839560.233749986</v>
      </c>
      <c r="K557" s="560">
        <f t="shared" si="172"/>
        <v>68.251338433584991</v>
      </c>
      <c r="L557" s="528"/>
      <c r="M557" s="528"/>
    </row>
    <row r="558" spans="1:13" s="42" customFormat="1" ht="20.100000000000001" customHeight="1">
      <c r="A558" s="285">
        <f>A557+1</f>
        <v>56</v>
      </c>
      <c r="B558" s="280" t="s">
        <v>203</v>
      </c>
      <c r="C558" s="288"/>
      <c r="D558" s="74">
        <v>11.843000000000002</v>
      </c>
      <c r="E558" s="65" t="s">
        <v>38</v>
      </c>
      <c r="F558" s="277">
        <f>F544</f>
        <v>500000</v>
      </c>
      <c r="G558" s="67">
        <f t="shared" si="177"/>
        <v>5921500.0000000009</v>
      </c>
      <c r="H558" s="535"/>
      <c r="I558" s="277">
        <v>280000</v>
      </c>
      <c r="J558" s="560">
        <f t="shared" si="167"/>
        <v>3316040.0000000005</v>
      </c>
      <c r="K558" s="560">
        <f t="shared" si="172"/>
        <v>178.57142857142858</v>
      </c>
      <c r="L558" s="528"/>
      <c r="M558" s="528"/>
    </row>
    <row r="559" spans="1:13" s="42" customFormat="1" ht="20.100000000000001" customHeight="1">
      <c r="A559" s="285">
        <f>A558+1</f>
        <v>57</v>
      </c>
      <c r="B559" s="280" t="s">
        <v>59</v>
      </c>
      <c r="C559" s="288"/>
      <c r="D559" s="74">
        <v>11</v>
      </c>
      <c r="E559" s="289" t="s">
        <v>60</v>
      </c>
      <c r="F559" s="277">
        <f>F543</f>
        <v>250000</v>
      </c>
      <c r="G559" s="67">
        <f t="shared" si="177"/>
        <v>2750000</v>
      </c>
      <c r="H559" s="535"/>
      <c r="I559" s="277">
        <v>95000</v>
      </c>
      <c r="J559" s="560">
        <f t="shared" si="167"/>
        <v>1045000</v>
      </c>
      <c r="K559" s="560">
        <f t="shared" si="172"/>
        <v>263.15789473684214</v>
      </c>
      <c r="L559" s="528"/>
      <c r="M559" s="528"/>
    </row>
    <row r="560" spans="1:13" s="42" customFormat="1" ht="20.100000000000001" customHeight="1">
      <c r="A560" s="285">
        <f t="shared" ref="A560" si="179">A559+1</f>
        <v>58</v>
      </c>
      <c r="B560" s="280" t="s">
        <v>163</v>
      </c>
      <c r="C560" s="288"/>
      <c r="D560" s="74">
        <v>236.86</v>
      </c>
      <c r="E560" s="65" t="s">
        <v>40</v>
      </c>
      <c r="F560" s="277">
        <v>50000</v>
      </c>
      <c r="G560" s="67">
        <f t="shared" si="177"/>
        <v>11843000</v>
      </c>
      <c r="H560" s="535"/>
      <c r="I560" s="277">
        <v>47000</v>
      </c>
      <c r="J560" s="560">
        <f t="shared" si="167"/>
        <v>11132420</v>
      </c>
      <c r="K560" s="560">
        <f t="shared" si="172"/>
        <v>106.38297872340425</v>
      </c>
      <c r="L560" s="528"/>
      <c r="M560" s="528"/>
    </row>
    <row r="561" spans="1:13" s="42" customFormat="1" ht="20.100000000000001" customHeight="1">
      <c r="A561" s="241"/>
      <c r="B561" s="242"/>
      <c r="C561" s="242"/>
      <c r="D561" s="243"/>
      <c r="E561" s="244"/>
      <c r="F561" s="245"/>
      <c r="G561" s="246"/>
      <c r="H561" s="535"/>
      <c r="I561" s="548"/>
      <c r="J561" s="567"/>
      <c r="K561" s="560"/>
      <c r="L561" s="528"/>
      <c r="M561" s="528"/>
    </row>
    <row r="562" spans="1:13" s="42" customFormat="1" ht="20.100000000000001" customHeight="1">
      <c r="A562" s="94" t="s">
        <v>217</v>
      </c>
      <c r="B562" s="193" t="s">
        <v>193</v>
      </c>
      <c r="C562" s="194"/>
      <c r="D562" s="95"/>
      <c r="E562" s="96"/>
      <c r="F562" s="97"/>
      <c r="G562" s="89">
        <f>SUM(G564:G576)</f>
        <v>48500000</v>
      </c>
      <c r="H562" s="535"/>
      <c r="I562" s="555"/>
      <c r="J562" s="573"/>
      <c r="K562" s="560"/>
      <c r="L562" s="528"/>
      <c r="M562" s="528"/>
    </row>
    <row r="563" spans="1:13" s="42" customFormat="1" ht="20.100000000000001" customHeight="1">
      <c r="A563" s="90"/>
      <c r="B563" s="206" t="s">
        <v>173</v>
      </c>
      <c r="C563" s="192"/>
      <c r="D563" s="92"/>
      <c r="E563" s="93"/>
      <c r="F563" s="91"/>
      <c r="G563" s="47"/>
      <c r="H563" s="535"/>
      <c r="I563" s="552"/>
      <c r="J563" s="571"/>
      <c r="K563" s="560"/>
      <c r="L563" s="528"/>
      <c r="M563" s="528"/>
    </row>
    <row r="564" spans="1:13" s="42" customFormat="1" ht="20.100000000000001" customHeight="1">
      <c r="A564" s="285">
        <v>1</v>
      </c>
      <c r="B564" s="280" t="s">
        <v>191</v>
      </c>
      <c r="C564" s="288"/>
      <c r="D564" s="74">
        <v>16</v>
      </c>
      <c r="E564" s="289" t="s">
        <v>102</v>
      </c>
      <c r="F564" s="290">
        <v>300000</v>
      </c>
      <c r="G564" s="292">
        <f t="shared" ref="G564:G576" si="180">D564*F564</f>
        <v>4800000</v>
      </c>
      <c r="H564" s="535"/>
      <c r="I564" s="546">
        <v>255000</v>
      </c>
      <c r="J564" s="560">
        <f t="shared" ref="J564:J576" si="181">D564*I564</f>
        <v>4080000</v>
      </c>
      <c r="K564" s="560">
        <f t="shared" si="172"/>
        <v>117.64705882352942</v>
      </c>
      <c r="L564" s="528"/>
      <c r="M564" s="528"/>
    </row>
    <row r="565" spans="1:13" s="42" customFormat="1" ht="20.100000000000001" customHeight="1">
      <c r="A565" s="90"/>
      <c r="B565" s="206" t="s">
        <v>175</v>
      </c>
      <c r="C565" s="192"/>
      <c r="D565" s="92"/>
      <c r="E565" s="93"/>
      <c r="F565" s="91"/>
      <c r="G565" s="292"/>
      <c r="H565" s="535"/>
      <c r="I565" s="552"/>
      <c r="J565" s="560">
        <f t="shared" si="181"/>
        <v>0</v>
      </c>
      <c r="K565" s="560"/>
      <c r="L565" s="528"/>
      <c r="M565" s="528"/>
    </row>
    <row r="566" spans="1:13" s="42" customFormat="1" ht="20.100000000000001" customHeight="1">
      <c r="A566" s="285">
        <f>A564+1</f>
        <v>2</v>
      </c>
      <c r="B566" s="280" t="s">
        <v>191</v>
      </c>
      <c r="C566" s="288"/>
      <c r="D566" s="74">
        <v>18</v>
      </c>
      <c r="E566" s="289" t="s">
        <v>102</v>
      </c>
      <c r="F566" s="290">
        <f>F564</f>
        <v>300000</v>
      </c>
      <c r="G566" s="292">
        <f t="shared" si="180"/>
        <v>5400000</v>
      </c>
      <c r="H566" s="535"/>
      <c r="I566" s="546">
        <v>255000</v>
      </c>
      <c r="J566" s="560">
        <f t="shared" si="181"/>
        <v>4590000</v>
      </c>
      <c r="K566" s="560">
        <f t="shared" si="172"/>
        <v>117.64705882352942</v>
      </c>
      <c r="L566" s="528"/>
      <c r="M566" s="528"/>
    </row>
    <row r="567" spans="1:13" s="42" customFormat="1" ht="20.100000000000001" customHeight="1">
      <c r="A567" s="285">
        <f>A566+1</f>
        <v>3</v>
      </c>
      <c r="B567" s="280" t="s">
        <v>190</v>
      </c>
      <c r="C567" s="288"/>
      <c r="D567" s="74">
        <v>16</v>
      </c>
      <c r="E567" s="289" t="s">
        <v>102</v>
      </c>
      <c r="F567" s="290">
        <v>250000</v>
      </c>
      <c r="G567" s="292">
        <f t="shared" si="180"/>
        <v>4000000</v>
      </c>
      <c r="H567" s="535"/>
      <c r="I567" s="546">
        <v>175000</v>
      </c>
      <c r="J567" s="560">
        <f t="shared" si="181"/>
        <v>2800000</v>
      </c>
      <c r="K567" s="560">
        <f t="shared" si="172"/>
        <v>142.85714285714286</v>
      </c>
      <c r="L567" s="528"/>
      <c r="M567" s="528"/>
    </row>
    <row r="568" spans="1:13" s="42" customFormat="1" ht="20.100000000000001" customHeight="1">
      <c r="A568" s="285">
        <f>A567+1</f>
        <v>4</v>
      </c>
      <c r="B568" s="280" t="s">
        <v>189</v>
      </c>
      <c r="C568" s="288"/>
      <c r="D568" s="74">
        <v>9</v>
      </c>
      <c r="E568" s="289" t="s">
        <v>102</v>
      </c>
      <c r="F568" s="290">
        <v>400000</v>
      </c>
      <c r="G568" s="292">
        <f t="shared" si="180"/>
        <v>3600000</v>
      </c>
      <c r="H568" s="535"/>
      <c r="I568" s="546">
        <v>275000</v>
      </c>
      <c r="J568" s="560">
        <f t="shared" si="181"/>
        <v>2475000</v>
      </c>
      <c r="K568" s="560">
        <f t="shared" si="172"/>
        <v>145.45454545454547</v>
      </c>
      <c r="L568" s="528"/>
      <c r="M568" s="528"/>
    </row>
    <row r="569" spans="1:13" s="42" customFormat="1" ht="20.100000000000001" customHeight="1">
      <c r="A569" s="90"/>
      <c r="B569" s="206" t="s">
        <v>176</v>
      </c>
      <c r="C569" s="192"/>
      <c r="D569" s="92"/>
      <c r="E569" s="93"/>
      <c r="F569" s="91"/>
      <c r="G569" s="292"/>
      <c r="H569" s="535"/>
      <c r="I569" s="552"/>
      <c r="J569" s="560">
        <f t="shared" si="181"/>
        <v>0</v>
      </c>
      <c r="K569" s="560"/>
      <c r="L569" s="528"/>
      <c r="M569" s="528"/>
    </row>
    <row r="570" spans="1:13" s="42" customFormat="1" ht="20.100000000000001" customHeight="1">
      <c r="A570" s="285">
        <f>A568+1</f>
        <v>5</v>
      </c>
      <c r="B570" s="280" t="s">
        <v>191</v>
      </c>
      <c r="C570" s="288"/>
      <c r="D570" s="74">
        <v>34</v>
      </c>
      <c r="E570" s="289" t="s">
        <v>102</v>
      </c>
      <c r="F570" s="290">
        <f>F566</f>
        <v>300000</v>
      </c>
      <c r="G570" s="292">
        <f t="shared" si="180"/>
        <v>10200000</v>
      </c>
      <c r="H570" s="535"/>
      <c r="I570" s="546">
        <v>255000</v>
      </c>
      <c r="J570" s="560">
        <f t="shared" si="181"/>
        <v>8670000</v>
      </c>
      <c r="K570" s="560">
        <f t="shared" si="172"/>
        <v>117.64705882352942</v>
      </c>
      <c r="L570" s="528"/>
      <c r="M570" s="528"/>
    </row>
    <row r="571" spans="1:13" s="42" customFormat="1" ht="20.100000000000001" customHeight="1">
      <c r="A571" s="285">
        <f>A570+1</f>
        <v>6</v>
      </c>
      <c r="B571" s="280" t="s">
        <v>190</v>
      </c>
      <c r="C571" s="288"/>
      <c r="D571" s="74">
        <v>13</v>
      </c>
      <c r="E571" s="289" t="s">
        <v>102</v>
      </c>
      <c r="F571" s="290">
        <f t="shared" ref="F571:F572" si="182">F567</f>
        <v>250000</v>
      </c>
      <c r="G571" s="292">
        <f t="shared" si="180"/>
        <v>3250000</v>
      </c>
      <c r="H571" s="535"/>
      <c r="I571" s="546">
        <v>175000</v>
      </c>
      <c r="J571" s="560">
        <f t="shared" si="181"/>
        <v>2275000</v>
      </c>
      <c r="K571" s="560">
        <f t="shared" si="172"/>
        <v>142.85714285714286</v>
      </c>
      <c r="L571" s="528"/>
      <c r="M571" s="528"/>
    </row>
    <row r="572" spans="1:13" s="42" customFormat="1" ht="20.100000000000001" customHeight="1">
      <c r="A572" s="285">
        <f>A571+1</f>
        <v>7</v>
      </c>
      <c r="B572" s="280" t="s">
        <v>189</v>
      </c>
      <c r="C572" s="288"/>
      <c r="D572" s="74">
        <v>16</v>
      </c>
      <c r="E572" s="289" t="s">
        <v>102</v>
      </c>
      <c r="F572" s="290">
        <f t="shared" si="182"/>
        <v>400000</v>
      </c>
      <c r="G572" s="292">
        <f t="shared" si="180"/>
        <v>6400000</v>
      </c>
      <c r="H572" s="535"/>
      <c r="I572" s="546">
        <v>275000</v>
      </c>
      <c r="J572" s="560">
        <f t="shared" si="181"/>
        <v>4400000</v>
      </c>
      <c r="K572" s="560">
        <f t="shared" si="172"/>
        <v>145.45454545454547</v>
      </c>
      <c r="L572" s="528"/>
      <c r="M572" s="528"/>
    </row>
    <row r="573" spans="1:13" s="42" customFormat="1" ht="20.100000000000001" customHeight="1">
      <c r="A573" s="90"/>
      <c r="B573" s="206" t="s">
        <v>177</v>
      </c>
      <c r="C573" s="192"/>
      <c r="D573" s="92"/>
      <c r="E573" s="93"/>
      <c r="F573" s="91"/>
      <c r="G573" s="292"/>
      <c r="H573" s="535"/>
      <c r="I573" s="552"/>
      <c r="J573" s="560">
        <f t="shared" si="181"/>
        <v>0</v>
      </c>
      <c r="K573" s="560"/>
      <c r="L573" s="528"/>
      <c r="M573" s="528"/>
    </row>
    <row r="574" spans="1:13" s="42" customFormat="1" ht="20.100000000000001" customHeight="1">
      <c r="A574" s="285">
        <f>A572+1</f>
        <v>8</v>
      </c>
      <c r="B574" s="280" t="s">
        <v>191</v>
      </c>
      <c r="C574" s="288"/>
      <c r="D574" s="74">
        <v>18</v>
      </c>
      <c r="E574" s="289" t="s">
        <v>102</v>
      </c>
      <c r="F574" s="290">
        <f>F570</f>
        <v>300000</v>
      </c>
      <c r="G574" s="292">
        <f t="shared" si="180"/>
        <v>5400000</v>
      </c>
      <c r="H574" s="535"/>
      <c r="I574" s="546">
        <v>255000</v>
      </c>
      <c r="J574" s="560">
        <f t="shared" si="181"/>
        <v>4590000</v>
      </c>
      <c r="K574" s="560">
        <f t="shared" si="172"/>
        <v>117.64705882352942</v>
      </c>
      <c r="L574" s="528"/>
      <c r="M574" s="528"/>
    </row>
    <row r="575" spans="1:13" s="42" customFormat="1" ht="20.100000000000001" customHeight="1">
      <c r="A575" s="285">
        <f>A574+1</f>
        <v>9</v>
      </c>
      <c r="B575" s="280" t="s">
        <v>190</v>
      </c>
      <c r="C575" s="288"/>
      <c r="D575" s="74">
        <v>9</v>
      </c>
      <c r="E575" s="289" t="s">
        <v>102</v>
      </c>
      <c r="F575" s="290">
        <f t="shared" ref="F575:F576" si="183">F571</f>
        <v>250000</v>
      </c>
      <c r="G575" s="292">
        <f t="shared" si="180"/>
        <v>2250000</v>
      </c>
      <c r="H575" s="535"/>
      <c r="I575" s="546">
        <v>175000</v>
      </c>
      <c r="J575" s="560">
        <f t="shared" si="181"/>
        <v>1575000</v>
      </c>
      <c r="K575" s="560">
        <f t="shared" si="172"/>
        <v>142.85714285714286</v>
      </c>
      <c r="L575" s="528"/>
      <c r="M575" s="528"/>
    </row>
    <row r="576" spans="1:13" s="42" customFormat="1" ht="20.100000000000001" customHeight="1">
      <c r="A576" s="285">
        <f>A575+1</f>
        <v>10</v>
      </c>
      <c r="B576" s="280" t="s">
        <v>189</v>
      </c>
      <c r="C576" s="288"/>
      <c r="D576" s="74">
        <v>8</v>
      </c>
      <c r="E576" s="289" t="s">
        <v>102</v>
      </c>
      <c r="F576" s="290">
        <f t="shared" si="183"/>
        <v>400000</v>
      </c>
      <c r="G576" s="292">
        <f t="shared" si="180"/>
        <v>3200000</v>
      </c>
      <c r="H576" s="535"/>
      <c r="I576" s="546">
        <v>275000</v>
      </c>
      <c r="J576" s="560">
        <f t="shared" si="181"/>
        <v>2200000</v>
      </c>
      <c r="K576" s="560">
        <f t="shared" si="172"/>
        <v>145.45454545454547</v>
      </c>
      <c r="L576" s="528"/>
      <c r="M576" s="528"/>
    </row>
    <row r="577" spans="1:13" s="42" customFormat="1" ht="20.100000000000001" customHeight="1">
      <c r="A577" s="66"/>
      <c r="B577" s="184"/>
      <c r="C577" s="184"/>
      <c r="D577" s="64"/>
      <c r="E577" s="65"/>
      <c r="F577" s="68"/>
      <c r="G577" s="67"/>
      <c r="H577" s="535"/>
      <c r="I577" s="548"/>
      <c r="J577" s="567"/>
      <c r="K577" s="560"/>
      <c r="L577" s="528"/>
      <c r="M577" s="528"/>
    </row>
    <row r="578" spans="1:13" s="42" customFormat="1" ht="20.100000000000001" customHeight="1">
      <c r="A578" s="94" t="s">
        <v>194</v>
      </c>
      <c r="B578" s="193" t="s">
        <v>404</v>
      </c>
      <c r="C578" s="194"/>
      <c r="D578" s="95"/>
      <c r="E578" s="96"/>
      <c r="F578" s="97"/>
      <c r="G578" s="89">
        <f>SUM(G579:G587)</f>
        <v>25328961.335600004</v>
      </c>
      <c r="H578" s="535"/>
      <c r="I578" s="555"/>
      <c r="J578" s="573"/>
      <c r="K578" s="560"/>
      <c r="L578" s="528"/>
      <c r="M578" s="528"/>
    </row>
    <row r="579" spans="1:13" s="42" customFormat="1" ht="20.100000000000001" customHeight="1">
      <c r="A579" s="90"/>
      <c r="B579" s="183"/>
      <c r="C579" s="184"/>
      <c r="D579" s="98"/>
      <c r="E579" s="65"/>
      <c r="F579" s="63"/>
      <c r="G579" s="47"/>
      <c r="H579" s="535"/>
      <c r="I579" s="554"/>
      <c r="J579" s="566"/>
      <c r="K579" s="560"/>
      <c r="L579" s="528"/>
      <c r="M579" s="528"/>
    </row>
    <row r="580" spans="1:13" s="42" customFormat="1" ht="20.100000000000001" customHeight="1">
      <c r="A580" s="285">
        <v>1</v>
      </c>
      <c r="B580" s="280" t="s">
        <v>104</v>
      </c>
      <c r="C580" s="288"/>
      <c r="D580" s="282">
        <v>6.7791000000000015</v>
      </c>
      <c r="E580" s="289" t="s">
        <v>61</v>
      </c>
      <c r="F580" s="290">
        <v>125000</v>
      </c>
      <c r="G580" s="292">
        <f>D580*F580</f>
        <v>847387.50000000023</v>
      </c>
      <c r="H580" s="535"/>
      <c r="I580" s="546">
        <v>110508.75000000001</v>
      </c>
      <c r="J580" s="560">
        <f t="shared" ref="J580:J587" si="184">D580*I580</f>
        <v>749149.86712500022</v>
      </c>
      <c r="K580" s="560">
        <f t="shared" si="172"/>
        <v>113.1132150169104</v>
      </c>
      <c r="L580" s="528"/>
      <c r="M580" s="528"/>
    </row>
    <row r="581" spans="1:13" s="42" customFormat="1" ht="20.100000000000001" customHeight="1">
      <c r="A581" s="285">
        <f>1+A580</f>
        <v>2</v>
      </c>
      <c r="B581" s="286" t="s">
        <v>62</v>
      </c>
      <c r="C581" s="288"/>
      <c r="D581" s="282">
        <v>7.3522499999999935E-2</v>
      </c>
      <c r="E581" s="289" t="s">
        <v>61</v>
      </c>
      <c r="F581" s="290">
        <f>F536</f>
        <v>350000</v>
      </c>
      <c r="G581" s="292">
        <f t="shared" ref="G581:G587" si="185">D581*F581</f>
        <v>25732.874999999978</v>
      </c>
      <c r="H581" s="535"/>
      <c r="I581" s="546">
        <v>257207.50000000003</v>
      </c>
      <c r="J581" s="560">
        <f t="shared" si="184"/>
        <v>18910.538418749984</v>
      </c>
      <c r="K581" s="560">
        <f t="shared" si="172"/>
        <v>136.07690288969022</v>
      </c>
      <c r="L581" s="528"/>
      <c r="M581" s="528"/>
    </row>
    <row r="582" spans="1:13" s="42" customFormat="1" ht="20.100000000000001" customHeight="1">
      <c r="A582" s="285">
        <f>1+A581</f>
        <v>3</v>
      </c>
      <c r="B582" s="286" t="s">
        <v>64</v>
      </c>
      <c r="C582" s="281"/>
      <c r="D582" s="282">
        <v>7.3522499999999935E-2</v>
      </c>
      <c r="E582" s="289" t="s">
        <v>61</v>
      </c>
      <c r="F582" s="290">
        <f>F481</f>
        <v>950000</v>
      </c>
      <c r="G582" s="292">
        <f t="shared" si="185"/>
        <v>69846.374999999942</v>
      </c>
      <c r="H582" s="535"/>
      <c r="I582" s="546">
        <v>1110010.5092592593</v>
      </c>
      <c r="J582" s="560">
        <f t="shared" si="184"/>
        <v>81610.747667013828</v>
      </c>
      <c r="K582" s="560">
        <f t="shared" si="172"/>
        <v>85.584775285953029</v>
      </c>
      <c r="L582" s="528"/>
      <c r="M582" s="528"/>
    </row>
    <row r="583" spans="1:13" s="42" customFormat="1" ht="20.100000000000001" customHeight="1">
      <c r="A583" s="285">
        <f>1+A582</f>
        <v>4</v>
      </c>
      <c r="B583" s="280" t="s">
        <v>105</v>
      </c>
      <c r="C583" s="281"/>
      <c r="D583" s="282">
        <v>6</v>
      </c>
      <c r="E583" s="289" t="s">
        <v>80</v>
      </c>
      <c r="F583" s="290">
        <v>750000</v>
      </c>
      <c r="G583" s="292">
        <f t="shared" si="185"/>
        <v>4500000</v>
      </c>
      <c r="H583" s="535"/>
      <c r="I583" s="546">
        <v>475000</v>
      </c>
      <c r="J583" s="560">
        <f t="shared" si="184"/>
        <v>2850000</v>
      </c>
      <c r="K583" s="560">
        <f t="shared" si="172"/>
        <v>157.89473684210526</v>
      </c>
      <c r="L583" s="528"/>
      <c r="M583" s="528"/>
    </row>
    <row r="584" spans="1:13" s="42" customFormat="1" ht="20.100000000000001" customHeight="1">
      <c r="A584" s="285">
        <f t="shared" ref="A584" si="186">A583+1</f>
        <v>5</v>
      </c>
      <c r="B584" s="280" t="s">
        <v>106</v>
      </c>
      <c r="C584" s="281"/>
      <c r="D584" s="282">
        <v>6.87</v>
      </c>
      <c r="E584" s="289" t="s">
        <v>65</v>
      </c>
      <c r="F584" s="283">
        <v>1200000</v>
      </c>
      <c r="G584" s="292">
        <f t="shared" si="185"/>
        <v>8244000</v>
      </c>
      <c r="H584" s="535"/>
      <c r="I584" s="541">
        <v>1305274.8703703706</v>
      </c>
      <c r="J584" s="560">
        <f t="shared" si="184"/>
        <v>8967238.3594444469</v>
      </c>
      <c r="K584" s="560">
        <f t="shared" si="172"/>
        <v>91.934658916669491</v>
      </c>
      <c r="L584" s="528"/>
      <c r="M584" s="528"/>
    </row>
    <row r="585" spans="1:13" s="42" customFormat="1" ht="20.100000000000001" customHeight="1">
      <c r="A585" s="285">
        <f>A584+1</f>
        <v>6</v>
      </c>
      <c r="B585" s="286" t="s">
        <v>17</v>
      </c>
      <c r="C585" s="281"/>
      <c r="D585" s="282">
        <v>635.37466160000008</v>
      </c>
      <c r="E585" s="289" t="s">
        <v>65</v>
      </c>
      <c r="F585" s="290">
        <v>16000</v>
      </c>
      <c r="G585" s="292">
        <f t="shared" si="185"/>
        <v>10165994.585600002</v>
      </c>
      <c r="H585" s="535"/>
      <c r="I585" s="546">
        <v>15423.65</v>
      </c>
      <c r="J585" s="560">
        <f t="shared" si="184"/>
        <v>9799796.3993868418</v>
      </c>
      <c r="K585" s="560">
        <f t="shared" si="172"/>
        <v>103.7367938198805</v>
      </c>
      <c r="L585" s="528"/>
      <c r="M585" s="528"/>
    </row>
    <row r="586" spans="1:13" s="42" customFormat="1" ht="20.100000000000001" customHeight="1">
      <c r="A586" s="271">
        <f t="shared" ref="A586" si="187">A585+1</f>
        <v>7</v>
      </c>
      <c r="B586" s="280" t="s">
        <v>107</v>
      </c>
      <c r="C586" s="273"/>
      <c r="D586" s="228">
        <v>7.1999999999999993</v>
      </c>
      <c r="E586" s="45" t="s">
        <v>40</v>
      </c>
      <c r="F586" s="46">
        <v>150000</v>
      </c>
      <c r="G586" s="292">
        <f t="shared" si="185"/>
        <v>1080000</v>
      </c>
      <c r="H586" s="535"/>
      <c r="I586" s="46">
        <v>204930.00000000003</v>
      </c>
      <c r="J586" s="560">
        <f t="shared" si="184"/>
        <v>1475496</v>
      </c>
      <c r="K586" s="560">
        <f t="shared" si="172"/>
        <v>73.195725369638396</v>
      </c>
      <c r="L586" s="528"/>
      <c r="M586" s="528"/>
    </row>
    <row r="587" spans="1:13" s="42" customFormat="1" ht="20.100000000000001" customHeight="1">
      <c r="A587" s="285">
        <f t="shared" ref="A587" si="188">1+A586</f>
        <v>8</v>
      </c>
      <c r="B587" s="286" t="s">
        <v>108</v>
      </c>
      <c r="C587" s="281"/>
      <c r="D587" s="64">
        <v>7.919999999999999</v>
      </c>
      <c r="E587" s="81" t="s">
        <v>40</v>
      </c>
      <c r="F587" s="283">
        <v>50000</v>
      </c>
      <c r="G587" s="292">
        <f t="shared" si="185"/>
        <v>395999.99999999994</v>
      </c>
      <c r="H587" s="535"/>
      <c r="I587" s="541">
        <v>45665.675000000003</v>
      </c>
      <c r="J587" s="560">
        <f t="shared" si="184"/>
        <v>361672.14600000001</v>
      </c>
      <c r="K587" s="560">
        <f t="shared" si="172"/>
        <v>109.49142873722988</v>
      </c>
      <c r="L587" s="528"/>
      <c r="M587" s="528"/>
    </row>
    <row r="588" spans="1:13" s="42" customFormat="1" ht="20.100000000000001" customHeight="1">
      <c r="A588" s="99"/>
      <c r="B588" s="195"/>
      <c r="C588" s="196"/>
      <c r="D588" s="100"/>
      <c r="E588" s="101"/>
      <c r="F588" s="102"/>
      <c r="G588" s="103"/>
      <c r="H588" s="535"/>
      <c r="I588" s="556"/>
      <c r="J588" s="560"/>
      <c r="K588" s="560"/>
      <c r="L588" s="528"/>
      <c r="M588" s="528"/>
    </row>
    <row r="589" spans="1:13" s="42" customFormat="1" ht="20.100000000000001" customHeight="1">
      <c r="A589" s="76" t="s">
        <v>153</v>
      </c>
      <c r="B589" s="181" t="s">
        <v>403</v>
      </c>
      <c r="C589" s="182"/>
      <c r="D589" s="77"/>
      <c r="E589" s="78"/>
      <c r="F589" s="79"/>
      <c r="G589" s="80">
        <f>SUM(G591:G609)</f>
        <v>404460223.5</v>
      </c>
      <c r="H589" s="535"/>
      <c r="I589" s="544"/>
      <c r="J589" s="568"/>
      <c r="K589" s="560"/>
      <c r="L589" s="528"/>
      <c r="M589" s="528"/>
    </row>
    <row r="590" spans="1:13" s="42" customFormat="1" ht="20.100000000000001" customHeight="1">
      <c r="A590" s="66"/>
      <c r="B590" s="183"/>
      <c r="C590" s="184"/>
      <c r="D590" s="64"/>
      <c r="E590" s="65"/>
      <c r="F590" s="82"/>
      <c r="G590" s="67"/>
      <c r="H590" s="535"/>
      <c r="I590" s="545"/>
      <c r="J590" s="567"/>
      <c r="K590" s="560"/>
      <c r="L590" s="528"/>
      <c r="M590" s="528"/>
    </row>
    <row r="591" spans="1:13" s="42" customFormat="1" ht="20.100000000000001" customHeight="1">
      <c r="A591" s="66">
        <v>1</v>
      </c>
      <c r="B591" s="280" t="s">
        <v>233</v>
      </c>
      <c r="C591" s="288"/>
      <c r="D591" s="282">
        <v>235.52258999999998</v>
      </c>
      <c r="E591" s="81" t="s">
        <v>38</v>
      </c>
      <c r="F591" s="283">
        <f>F416</f>
        <v>50000</v>
      </c>
      <c r="G591" s="75">
        <f t="shared" ref="G591:G605" si="189">D591*F591</f>
        <v>11776129.499999998</v>
      </c>
      <c r="H591" s="535"/>
      <c r="I591" s="541">
        <v>28909.375000000004</v>
      </c>
      <c r="J591" s="560">
        <f t="shared" ref="J591:J605" si="190">D591*I591</f>
        <v>6808810.8752812501</v>
      </c>
      <c r="K591" s="560">
        <f t="shared" ref="K591:K653" si="191">F591/I591*100</f>
        <v>172.9542752134904</v>
      </c>
      <c r="L591" s="528"/>
      <c r="M591" s="528"/>
    </row>
    <row r="592" spans="1:13" s="42" customFormat="1" ht="20.100000000000001" customHeight="1">
      <c r="A592" s="66">
        <f t="shared" ref="A592:A599" si="192">1+A591</f>
        <v>2</v>
      </c>
      <c r="B592" s="286" t="s">
        <v>62</v>
      </c>
      <c r="C592" s="281"/>
      <c r="D592" s="282">
        <v>5.8804200000000009</v>
      </c>
      <c r="E592" s="81" t="s">
        <v>38</v>
      </c>
      <c r="F592" s="283">
        <f t="shared" ref="F592:F595" si="193">F417</f>
        <v>350000</v>
      </c>
      <c r="G592" s="75">
        <f t="shared" si="189"/>
        <v>2058147.0000000002</v>
      </c>
      <c r="H592" s="535"/>
      <c r="I592" s="541">
        <v>257207.50000000003</v>
      </c>
      <c r="J592" s="560">
        <f t="shared" si="190"/>
        <v>1512488.1271500003</v>
      </c>
      <c r="K592" s="560">
        <f t="shared" si="191"/>
        <v>136.07690288969022</v>
      </c>
      <c r="L592" s="528"/>
      <c r="M592" s="528"/>
    </row>
    <row r="593" spans="1:13" s="42" customFormat="1" ht="20.100000000000001" customHeight="1">
      <c r="A593" s="66">
        <f t="shared" si="192"/>
        <v>3</v>
      </c>
      <c r="B593" s="286" t="s">
        <v>64</v>
      </c>
      <c r="C593" s="281"/>
      <c r="D593" s="282">
        <v>5.8804200000000009</v>
      </c>
      <c r="E593" s="81" t="s">
        <v>70</v>
      </c>
      <c r="F593" s="283">
        <f t="shared" si="193"/>
        <v>950000</v>
      </c>
      <c r="G593" s="75">
        <f t="shared" si="189"/>
        <v>5586399.0000000009</v>
      </c>
      <c r="H593" s="535"/>
      <c r="I593" s="541">
        <v>1110010.5092592593</v>
      </c>
      <c r="J593" s="560">
        <f t="shared" si="190"/>
        <v>6527327.9988583345</v>
      </c>
      <c r="K593" s="560">
        <f t="shared" si="191"/>
        <v>85.584775285953029</v>
      </c>
      <c r="L593" s="528"/>
      <c r="M593" s="528"/>
    </row>
    <row r="594" spans="1:13" s="42" customFormat="1" ht="20.100000000000001" customHeight="1">
      <c r="A594" s="66">
        <f t="shared" si="192"/>
        <v>4</v>
      </c>
      <c r="B594" s="280" t="s">
        <v>308</v>
      </c>
      <c r="C594" s="281"/>
      <c r="D594" s="64">
        <v>4.1399999999999997</v>
      </c>
      <c r="E594" s="81" t="s">
        <v>70</v>
      </c>
      <c r="F594" s="283">
        <f t="shared" si="193"/>
        <v>4000000</v>
      </c>
      <c r="G594" s="75">
        <f t="shared" si="189"/>
        <v>16559999.999999998</v>
      </c>
      <c r="H594" s="535"/>
      <c r="I594" s="541">
        <v>4433477.0833333349</v>
      </c>
      <c r="J594" s="560">
        <f t="shared" si="190"/>
        <v>18354595.125000004</v>
      </c>
      <c r="K594" s="560">
        <f t="shared" si="191"/>
        <v>90.222638457681555</v>
      </c>
      <c r="L594" s="528"/>
      <c r="M594" s="528"/>
    </row>
    <row r="595" spans="1:13" s="42" customFormat="1" ht="20.100000000000001" customHeight="1">
      <c r="A595" s="66">
        <f t="shared" si="192"/>
        <v>5</v>
      </c>
      <c r="B595" s="280" t="s">
        <v>305</v>
      </c>
      <c r="C595" s="281"/>
      <c r="D595" s="64">
        <v>6.8220000000000001</v>
      </c>
      <c r="E595" s="81" t="s">
        <v>70</v>
      </c>
      <c r="F595" s="283">
        <f t="shared" si="193"/>
        <v>4000000</v>
      </c>
      <c r="G595" s="75">
        <f t="shared" si="189"/>
        <v>27288000</v>
      </c>
      <c r="H595" s="535"/>
      <c r="I595" s="541">
        <v>4433477.0833333349</v>
      </c>
      <c r="J595" s="560">
        <f t="shared" si="190"/>
        <v>30245180.662500013</v>
      </c>
      <c r="K595" s="560">
        <f t="shared" si="191"/>
        <v>90.222638457681555</v>
      </c>
      <c r="L595" s="528"/>
      <c r="M595" s="528"/>
    </row>
    <row r="596" spans="1:13" s="42" customFormat="1" ht="20.100000000000001" customHeight="1">
      <c r="A596" s="66">
        <f t="shared" si="192"/>
        <v>6</v>
      </c>
      <c r="B596" s="280" t="s">
        <v>306</v>
      </c>
      <c r="C596" s="281"/>
      <c r="D596" s="64">
        <v>4.8600000000000003</v>
      </c>
      <c r="E596" s="81" t="s">
        <v>70</v>
      </c>
      <c r="F596" s="283">
        <f>F600</f>
        <v>5340000</v>
      </c>
      <c r="G596" s="75">
        <f t="shared" si="189"/>
        <v>25952400</v>
      </c>
      <c r="H596" s="535"/>
      <c r="I596" s="541">
        <v>6983399.8048192775</v>
      </c>
      <c r="J596" s="560">
        <f t="shared" si="190"/>
        <v>33939323.051421694</v>
      </c>
      <c r="K596" s="560">
        <f t="shared" si="191"/>
        <v>76.467052571082078</v>
      </c>
      <c r="L596" s="528"/>
      <c r="M596" s="528"/>
    </row>
    <row r="597" spans="1:13" s="42" customFormat="1" ht="20.100000000000001" customHeight="1">
      <c r="A597" s="66">
        <f t="shared" si="192"/>
        <v>7</v>
      </c>
      <c r="B597" s="280" t="s">
        <v>307</v>
      </c>
      <c r="C597" s="281"/>
      <c r="D597" s="64">
        <v>7.0309999999999997</v>
      </c>
      <c r="E597" s="81" t="s">
        <v>70</v>
      </c>
      <c r="F597" s="283">
        <f>F600</f>
        <v>5340000</v>
      </c>
      <c r="G597" s="75">
        <f t="shared" si="189"/>
        <v>37545540</v>
      </c>
      <c r="H597" s="535"/>
      <c r="I597" s="541">
        <v>5234053.0993975913</v>
      </c>
      <c r="J597" s="560">
        <f t="shared" si="190"/>
        <v>36800627.341864459</v>
      </c>
      <c r="K597" s="560">
        <f t="shared" si="191"/>
        <v>102.0241846727654</v>
      </c>
      <c r="L597" s="528"/>
      <c r="M597" s="528"/>
    </row>
    <row r="598" spans="1:13" s="42" customFormat="1" ht="20.100000000000001" customHeight="1">
      <c r="A598" s="66">
        <f t="shared" si="192"/>
        <v>8</v>
      </c>
      <c r="B598" s="280" t="s">
        <v>209</v>
      </c>
      <c r="C598" s="281"/>
      <c r="D598" s="64">
        <v>1.6032</v>
      </c>
      <c r="E598" s="81" t="s">
        <v>70</v>
      </c>
      <c r="F598" s="283">
        <f>F597</f>
        <v>5340000</v>
      </c>
      <c r="G598" s="75">
        <f t="shared" si="189"/>
        <v>8561088</v>
      </c>
      <c r="H598" s="535"/>
      <c r="I598" s="541">
        <v>5234053.0993975913</v>
      </c>
      <c r="J598" s="560">
        <f t="shared" si="190"/>
        <v>8391233.9289542176</v>
      </c>
      <c r="K598" s="560">
        <f t="shared" si="191"/>
        <v>102.0241846727654</v>
      </c>
      <c r="L598" s="528"/>
      <c r="M598" s="528"/>
    </row>
    <row r="599" spans="1:13" s="42" customFormat="1" ht="20.100000000000001" customHeight="1">
      <c r="A599" s="66">
        <f t="shared" si="192"/>
        <v>9</v>
      </c>
      <c r="B599" s="280" t="s">
        <v>309</v>
      </c>
      <c r="C599" s="281"/>
      <c r="D599" s="64">
        <v>8.2199999999999989</v>
      </c>
      <c r="E599" s="81" t="s">
        <v>70</v>
      </c>
      <c r="F599" s="283">
        <f>F598</f>
        <v>5340000</v>
      </c>
      <c r="G599" s="75">
        <f t="shared" ref="G599" si="194">D599*F599</f>
        <v>43894799.999999993</v>
      </c>
      <c r="H599" s="535"/>
      <c r="I599" s="541">
        <v>5234053.0993975913</v>
      </c>
      <c r="J599" s="560">
        <f t="shared" si="190"/>
        <v>43023916.477048196</v>
      </c>
      <c r="K599" s="560">
        <f t="shared" si="191"/>
        <v>102.0241846727654</v>
      </c>
      <c r="L599" s="528"/>
      <c r="M599" s="528"/>
    </row>
    <row r="600" spans="1:13" s="42" customFormat="1" ht="20.100000000000001" customHeight="1">
      <c r="A600" s="66">
        <f t="shared" ref="A600:A605" si="195">1+A599</f>
        <v>10</v>
      </c>
      <c r="B600" s="280" t="s">
        <v>316</v>
      </c>
      <c r="C600" s="281"/>
      <c r="D600" s="64">
        <v>12.576000000000001</v>
      </c>
      <c r="E600" s="81" t="s">
        <v>70</v>
      </c>
      <c r="F600" s="283">
        <f>(1200000+(150*15000)+1000000)*1.2</f>
        <v>5340000</v>
      </c>
      <c r="G600" s="75">
        <f t="shared" si="189"/>
        <v>67155840</v>
      </c>
      <c r="H600" s="535"/>
      <c r="I600" s="541">
        <v>4161394.5462962966</v>
      </c>
      <c r="J600" s="560">
        <f t="shared" si="190"/>
        <v>52333697.814222232</v>
      </c>
      <c r="K600" s="560">
        <f t="shared" si="191"/>
        <v>128.32236743215518</v>
      </c>
      <c r="L600" s="528"/>
      <c r="M600" s="528"/>
    </row>
    <row r="601" spans="1:13" s="42" customFormat="1" ht="20.100000000000001" customHeight="1">
      <c r="A601" s="66">
        <f t="shared" si="195"/>
        <v>11</v>
      </c>
      <c r="B601" s="272" t="s">
        <v>317</v>
      </c>
      <c r="C601" s="273"/>
      <c r="D601" s="282">
        <v>148.5</v>
      </c>
      <c r="E601" s="45" t="s">
        <v>40</v>
      </c>
      <c r="F601" s="283">
        <v>60000</v>
      </c>
      <c r="G601" s="275">
        <f t="shared" si="189"/>
        <v>8910000</v>
      </c>
      <c r="H601" s="535"/>
      <c r="I601" s="46">
        <v>225905.57000000004</v>
      </c>
      <c r="J601" s="560">
        <f t="shared" si="190"/>
        <v>33546977.145000007</v>
      </c>
      <c r="K601" s="576">
        <f t="shared" si="191"/>
        <v>26.559770084464933</v>
      </c>
      <c r="L601" s="528"/>
      <c r="M601" s="528"/>
    </row>
    <row r="602" spans="1:13" s="42" customFormat="1" ht="20.100000000000001" customHeight="1">
      <c r="A602" s="66">
        <f t="shared" si="195"/>
        <v>12</v>
      </c>
      <c r="B602" s="272" t="s">
        <v>318</v>
      </c>
      <c r="C602" s="273"/>
      <c r="D602" s="282">
        <v>174.96</v>
      </c>
      <c r="E602" s="45" t="s">
        <v>40</v>
      </c>
      <c r="F602" s="283">
        <v>50000</v>
      </c>
      <c r="G602" s="275">
        <f t="shared" ref="G602" si="196">D602*F602</f>
        <v>8748000</v>
      </c>
      <c r="H602" s="535"/>
      <c r="I602" s="46">
        <v>45665.675000000003</v>
      </c>
      <c r="J602" s="560">
        <f t="shared" si="190"/>
        <v>7989666.4980000006</v>
      </c>
      <c r="K602" s="560">
        <f t="shared" si="191"/>
        <v>109.49142873722988</v>
      </c>
      <c r="L602" s="528"/>
      <c r="M602" s="528"/>
    </row>
    <row r="603" spans="1:13" s="42" customFormat="1" ht="20.100000000000001" customHeight="1">
      <c r="A603" s="66">
        <f t="shared" si="195"/>
        <v>13</v>
      </c>
      <c r="B603" s="272" t="s">
        <v>94</v>
      </c>
      <c r="C603" s="273"/>
      <c r="D603" s="282">
        <v>148.5</v>
      </c>
      <c r="E603" s="45" t="s">
        <v>40</v>
      </c>
      <c r="F603" s="283">
        <v>40000</v>
      </c>
      <c r="G603" s="275">
        <f t="shared" si="189"/>
        <v>5940000</v>
      </c>
      <c r="H603" s="535"/>
      <c r="I603" s="46">
        <v>45665.675000000003</v>
      </c>
      <c r="J603" s="560">
        <f t="shared" si="190"/>
        <v>6781352.7375000007</v>
      </c>
      <c r="K603" s="560">
        <f t="shared" si="191"/>
        <v>87.5931429897839</v>
      </c>
      <c r="L603" s="528"/>
      <c r="M603" s="528"/>
    </row>
    <row r="604" spans="1:13" s="42" customFormat="1" ht="20.100000000000001" customHeight="1">
      <c r="A604" s="66">
        <f t="shared" si="195"/>
        <v>14</v>
      </c>
      <c r="B604" s="286" t="s">
        <v>315</v>
      </c>
      <c r="C604" s="281"/>
      <c r="D604" s="282">
        <v>163.5796</v>
      </c>
      <c r="E604" s="81" t="s">
        <v>40</v>
      </c>
      <c r="F604" s="283">
        <v>300000</v>
      </c>
      <c r="G604" s="67">
        <f t="shared" si="189"/>
        <v>49073880</v>
      </c>
      <c r="H604" s="535"/>
      <c r="I604" s="541">
        <v>408890.36833333335</v>
      </c>
      <c r="J604" s="560">
        <f t="shared" si="190"/>
        <v>66886122.895819336</v>
      </c>
      <c r="K604" s="560">
        <f t="shared" si="191"/>
        <v>73.36929975211244</v>
      </c>
      <c r="L604" s="528"/>
      <c r="M604" s="528"/>
    </row>
    <row r="605" spans="1:13" s="42" customFormat="1" ht="20.100000000000001" customHeight="1">
      <c r="A605" s="66">
        <f t="shared" si="195"/>
        <v>15</v>
      </c>
      <c r="B605" s="368" t="s">
        <v>313</v>
      </c>
      <c r="C605" s="369"/>
      <c r="D605" s="74">
        <v>65.7</v>
      </c>
      <c r="E605" s="65" t="s">
        <v>52</v>
      </c>
      <c r="F605" s="291">
        <v>1300000</v>
      </c>
      <c r="G605" s="75">
        <f t="shared" si="189"/>
        <v>85410000</v>
      </c>
      <c r="H605" s="535"/>
      <c r="I605" s="547">
        <v>809783.33333333349</v>
      </c>
      <c r="J605" s="560">
        <f t="shared" si="190"/>
        <v>53202765.000000015</v>
      </c>
      <c r="K605" s="560">
        <f t="shared" si="191"/>
        <v>160.53676909461376</v>
      </c>
      <c r="L605" s="528"/>
      <c r="M605" s="528"/>
    </row>
    <row r="606" spans="1:13" s="42" customFormat="1" ht="20.100000000000001" customHeight="1">
      <c r="A606" s="207"/>
      <c r="B606" s="368" t="s">
        <v>310</v>
      </c>
      <c r="C606" s="369"/>
      <c r="D606" s="74"/>
      <c r="E606" s="65"/>
      <c r="F606" s="212"/>
      <c r="G606" s="75"/>
      <c r="H606" s="535"/>
      <c r="I606" s="547"/>
      <c r="J606" s="569"/>
      <c r="K606" s="560"/>
      <c r="L606" s="528"/>
      <c r="M606" s="528"/>
    </row>
    <row r="607" spans="1:13" s="42" customFormat="1" ht="20.100000000000001" customHeight="1">
      <c r="A607" s="207"/>
      <c r="B607" s="368" t="s">
        <v>311</v>
      </c>
      <c r="C607" s="369"/>
      <c r="D607" s="74"/>
      <c r="E607" s="65"/>
      <c r="F607" s="212"/>
      <c r="G607" s="75"/>
      <c r="H607" s="535"/>
      <c r="I607" s="547"/>
      <c r="J607" s="569"/>
      <c r="K607" s="560"/>
      <c r="L607" s="528"/>
      <c r="M607" s="528"/>
    </row>
    <row r="608" spans="1:13" s="42" customFormat="1" ht="20.100000000000001" customHeight="1">
      <c r="A608" s="207"/>
      <c r="B608" s="368" t="s">
        <v>312</v>
      </c>
      <c r="C608" s="369"/>
      <c r="D608" s="74"/>
      <c r="E608" s="65"/>
      <c r="F608" s="212"/>
      <c r="G608" s="75"/>
      <c r="H608" s="535"/>
      <c r="I608" s="547"/>
      <c r="J608" s="569"/>
      <c r="K608" s="560"/>
      <c r="L608" s="528"/>
      <c r="M608" s="528"/>
    </row>
    <row r="609" spans="1:13" s="42" customFormat="1" ht="20.100000000000001" customHeight="1">
      <c r="A609" s="207"/>
      <c r="B609" s="208"/>
      <c r="C609" s="209"/>
      <c r="D609" s="210"/>
      <c r="E609" s="211"/>
      <c r="F609" s="212"/>
      <c r="G609" s="75"/>
      <c r="H609" s="535"/>
      <c r="I609" s="547"/>
      <c r="J609" s="569"/>
      <c r="K609" s="560"/>
      <c r="L609" s="528"/>
      <c r="M609" s="528"/>
    </row>
    <row r="610" spans="1:13" s="42" customFormat="1" ht="20.100000000000001" customHeight="1">
      <c r="A610" s="76" t="s">
        <v>208</v>
      </c>
      <c r="B610" s="181" t="s">
        <v>195</v>
      </c>
      <c r="C610" s="182"/>
      <c r="D610" s="77"/>
      <c r="E610" s="78"/>
      <c r="F610" s="79"/>
      <c r="G610" s="80">
        <f>SUM(G612:G631)</f>
        <v>31215621.750000004</v>
      </c>
      <c r="H610" s="535"/>
      <c r="I610" s="544"/>
      <c r="J610" s="568"/>
      <c r="K610" s="560"/>
      <c r="L610" s="528"/>
      <c r="M610" s="528"/>
    </row>
    <row r="611" spans="1:13" s="42" customFormat="1" ht="20.100000000000001" customHeight="1">
      <c r="A611" s="66"/>
      <c r="B611" s="183"/>
      <c r="C611" s="184"/>
      <c r="D611" s="64"/>
      <c r="E611" s="65"/>
      <c r="F611" s="82"/>
      <c r="G611" s="67"/>
      <c r="H611" s="535"/>
      <c r="I611" s="545"/>
      <c r="J611" s="567"/>
      <c r="K611" s="560"/>
      <c r="L611" s="528"/>
      <c r="M611" s="528"/>
    </row>
    <row r="612" spans="1:13" s="42" customFormat="1" ht="20.100000000000001" customHeight="1">
      <c r="A612" s="66">
        <f>1+A611</f>
        <v>1</v>
      </c>
      <c r="B612" s="280" t="s">
        <v>37</v>
      </c>
      <c r="C612" s="288"/>
      <c r="D612" s="282">
        <v>5.2092499999999999</v>
      </c>
      <c r="E612" s="81" t="s">
        <v>38</v>
      </c>
      <c r="F612" s="283">
        <f>F535</f>
        <v>90000</v>
      </c>
      <c r="G612" s="75">
        <f>D612*F612</f>
        <v>468832.5</v>
      </c>
      <c r="H612" s="535"/>
      <c r="I612" s="541">
        <v>68612.5</v>
      </c>
      <c r="J612" s="560">
        <f t="shared" ref="J612:J630" si="197">D612*I612</f>
        <v>357419.66562500002</v>
      </c>
      <c r="K612" s="560">
        <f t="shared" si="191"/>
        <v>131.17143377664419</v>
      </c>
      <c r="L612" s="528"/>
      <c r="M612" s="528"/>
    </row>
    <row r="613" spans="1:13" s="42" customFormat="1" ht="20.100000000000001" customHeight="1">
      <c r="A613" s="66">
        <f>1+A612</f>
        <v>2</v>
      </c>
      <c r="B613" s="280" t="s">
        <v>77</v>
      </c>
      <c r="C613" s="288"/>
      <c r="D613" s="282">
        <v>2.604625</v>
      </c>
      <c r="E613" s="81" t="s">
        <v>38</v>
      </c>
      <c r="F613" s="283">
        <f>30000</f>
        <v>30000</v>
      </c>
      <c r="G613" s="75">
        <f t="shared" ref="G613:G630" si="198">D613*F613</f>
        <v>78138.75</v>
      </c>
      <c r="H613" s="535"/>
      <c r="I613" s="541">
        <v>22870.833333333332</v>
      </c>
      <c r="J613" s="560">
        <f t="shared" si="197"/>
        <v>59569.94427083333</v>
      </c>
      <c r="K613" s="560">
        <f t="shared" si="191"/>
        <v>131.17143377664419</v>
      </c>
      <c r="L613" s="528"/>
      <c r="M613" s="528"/>
    </row>
    <row r="614" spans="1:13" s="42" customFormat="1" ht="20.100000000000001" customHeight="1">
      <c r="A614" s="66">
        <f>1+A613</f>
        <v>3</v>
      </c>
      <c r="B614" s="286" t="s">
        <v>62</v>
      </c>
      <c r="C614" s="281"/>
      <c r="D614" s="282">
        <v>0.40475000000000005</v>
      </c>
      <c r="E614" s="81" t="s">
        <v>38</v>
      </c>
      <c r="F614" s="283">
        <f>F592</f>
        <v>350000</v>
      </c>
      <c r="G614" s="75">
        <f t="shared" si="198"/>
        <v>141662.50000000003</v>
      </c>
      <c r="H614" s="535"/>
      <c r="I614" s="541">
        <v>257207.50000000003</v>
      </c>
      <c r="J614" s="560">
        <f t="shared" si="197"/>
        <v>104104.73562500003</v>
      </c>
      <c r="K614" s="560">
        <f t="shared" si="191"/>
        <v>136.07690288969022</v>
      </c>
      <c r="L614" s="528"/>
      <c r="M614" s="528"/>
    </row>
    <row r="615" spans="1:13" s="42" customFormat="1" ht="20.100000000000001" customHeight="1">
      <c r="A615" s="66">
        <f t="shared" ref="A615:A630" si="199">1+A614</f>
        <v>4</v>
      </c>
      <c r="B615" s="286" t="s">
        <v>64</v>
      </c>
      <c r="C615" s="281"/>
      <c r="D615" s="282">
        <v>0.12</v>
      </c>
      <c r="E615" s="81" t="s">
        <v>70</v>
      </c>
      <c r="F615" s="283">
        <f>F593</f>
        <v>950000</v>
      </c>
      <c r="G615" s="75">
        <f t="shared" si="198"/>
        <v>114000</v>
      </c>
      <c r="H615" s="535"/>
      <c r="I615" s="541">
        <v>1110010.5092592593</v>
      </c>
      <c r="J615" s="560">
        <f t="shared" si="197"/>
        <v>133201.26111111112</v>
      </c>
      <c r="K615" s="560">
        <f t="shared" si="191"/>
        <v>85.584775285953029</v>
      </c>
      <c r="L615" s="528"/>
      <c r="M615" s="528"/>
    </row>
    <row r="616" spans="1:13" s="42" customFormat="1" ht="20.100000000000001" customHeight="1">
      <c r="A616" s="66">
        <f t="shared" si="199"/>
        <v>5</v>
      </c>
      <c r="B616" s="280" t="s">
        <v>197</v>
      </c>
      <c r="C616" s="281"/>
      <c r="D616" s="64">
        <v>0.48</v>
      </c>
      <c r="E616" s="81" t="s">
        <v>70</v>
      </c>
      <c r="F616" s="283">
        <f>F594</f>
        <v>4000000</v>
      </c>
      <c r="G616" s="75">
        <f t="shared" si="198"/>
        <v>1920000</v>
      </c>
      <c r="H616" s="535"/>
      <c r="I616" s="541">
        <v>4320553.805555556</v>
      </c>
      <c r="J616" s="560">
        <f t="shared" si="197"/>
        <v>2073865.8266666669</v>
      </c>
      <c r="K616" s="560">
        <f t="shared" si="191"/>
        <v>92.580724139035738</v>
      </c>
      <c r="L616" s="528"/>
      <c r="M616" s="528"/>
    </row>
    <row r="617" spans="1:13" s="42" customFormat="1" ht="20.100000000000001" customHeight="1">
      <c r="A617" s="66">
        <f t="shared" si="199"/>
        <v>6</v>
      </c>
      <c r="B617" s="280" t="s">
        <v>198</v>
      </c>
      <c r="C617" s="281"/>
      <c r="D617" s="64">
        <v>8.0000000000000016E-2</v>
      </c>
      <c r="E617" s="81" t="s">
        <v>70</v>
      </c>
      <c r="F617" s="283">
        <f>F595</f>
        <v>4000000</v>
      </c>
      <c r="G617" s="75">
        <f t="shared" si="198"/>
        <v>320000.00000000006</v>
      </c>
      <c r="H617" s="535"/>
      <c r="I617" s="541">
        <v>4433477.0833333349</v>
      </c>
      <c r="J617" s="560">
        <f t="shared" si="197"/>
        <v>354678.16666666686</v>
      </c>
      <c r="K617" s="560">
        <f t="shared" si="191"/>
        <v>90.222638457681555</v>
      </c>
      <c r="L617" s="528"/>
      <c r="M617" s="528"/>
    </row>
    <row r="618" spans="1:13" s="42" customFormat="1" ht="20.100000000000001" customHeight="1">
      <c r="A618" s="66">
        <f t="shared" si="199"/>
        <v>7</v>
      </c>
      <c r="B618" s="280" t="s">
        <v>199</v>
      </c>
      <c r="C618" s="281"/>
      <c r="D618" s="64">
        <v>2.2800000000000007</v>
      </c>
      <c r="E618" s="81" t="s">
        <v>70</v>
      </c>
      <c r="F618" s="283">
        <f t="shared" ref="F618" si="200">F596</f>
        <v>5340000</v>
      </c>
      <c r="G618" s="75">
        <f t="shared" si="198"/>
        <v>12175200.000000004</v>
      </c>
      <c r="H618" s="535"/>
      <c r="I618" s="541">
        <v>4320553.805555556</v>
      </c>
      <c r="J618" s="560">
        <f t="shared" si="197"/>
        <v>9850862.6766666714</v>
      </c>
      <c r="K618" s="560">
        <f t="shared" si="191"/>
        <v>123.59526672561272</v>
      </c>
      <c r="L618" s="528"/>
      <c r="M618" s="528"/>
    </row>
    <row r="619" spans="1:13" s="42" customFormat="1" ht="20.100000000000001" customHeight="1">
      <c r="A619" s="66">
        <f t="shared" si="199"/>
        <v>8</v>
      </c>
      <c r="B619" s="280" t="s">
        <v>200</v>
      </c>
      <c r="C619" s="281"/>
      <c r="D619" s="64">
        <v>0.12000000000000002</v>
      </c>
      <c r="E619" s="81" t="s">
        <v>70</v>
      </c>
      <c r="F619" s="283">
        <v>6000000</v>
      </c>
      <c r="G619" s="75">
        <f t="shared" si="198"/>
        <v>720000.00000000012</v>
      </c>
      <c r="H619" s="535"/>
      <c r="I619" s="541">
        <v>4055465.7596385544</v>
      </c>
      <c r="J619" s="560">
        <f t="shared" si="197"/>
        <v>486655.89115662663</v>
      </c>
      <c r="K619" s="560">
        <f t="shared" si="191"/>
        <v>147.94848127468231</v>
      </c>
      <c r="L619" s="528"/>
      <c r="M619" s="528"/>
    </row>
    <row r="620" spans="1:13" s="42" customFormat="1" ht="20.100000000000001" customHeight="1">
      <c r="A620" s="66">
        <f t="shared" si="199"/>
        <v>9</v>
      </c>
      <c r="B620" s="286" t="s">
        <v>156</v>
      </c>
      <c r="C620" s="281"/>
      <c r="D620" s="282">
        <v>2.0474999999999999</v>
      </c>
      <c r="E620" s="81" t="s">
        <v>70</v>
      </c>
      <c r="F620" s="283">
        <f>F538</f>
        <v>900000</v>
      </c>
      <c r="G620" s="75">
        <f t="shared" si="198"/>
        <v>1842750</v>
      </c>
      <c r="H620" s="535"/>
      <c r="I620" s="541">
        <v>1120599.7000000002</v>
      </c>
      <c r="J620" s="560">
        <f t="shared" si="197"/>
        <v>2294427.8857500004</v>
      </c>
      <c r="K620" s="560">
        <f t="shared" si="191"/>
        <v>80.314138938284557</v>
      </c>
      <c r="L620" s="528"/>
      <c r="M620" s="528"/>
    </row>
    <row r="621" spans="1:13" s="42" customFormat="1" ht="20.100000000000001" customHeight="1">
      <c r="A621" s="66">
        <f t="shared" si="199"/>
        <v>10</v>
      </c>
      <c r="B621" s="286" t="s">
        <v>205</v>
      </c>
      <c r="C621" s="281"/>
      <c r="D621" s="282">
        <v>8.19</v>
      </c>
      <c r="E621" s="81" t="s">
        <v>40</v>
      </c>
      <c r="F621" s="283">
        <v>85000</v>
      </c>
      <c r="G621" s="75">
        <f t="shared" si="198"/>
        <v>696150</v>
      </c>
      <c r="H621" s="535"/>
      <c r="I621" s="541">
        <v>138865.65000000002</v>
      </c>
      <c r="J621" s="560">
        <f t="shared" si="197"/>
        <v>1137309.6735</v>
      </c>
      <c r="K621" s="560">
        <f t="shared" si="191"/>
        <v>61.210241697640846</v>
      </c>
      <c r="L621" s="528"/>
      <c r="M621" s="528"/>
    </row>
    <row r="622" spans="1:13" s="42" customFormat="1" ht="20.100000000000001" customHeight="1">
      <c r="A622" s="66">
        <f>1+A620</f>
        <v>10</v>
      </c>
      <c r="B622" s="286" t="s">
        <v>201</v>
      </c>
      <c r="C622" s="281"/>
      <c r="D622" s="282">
        <v>9.8279999999999994</v>
      </c>
      <c r="E622" s="81" t="s">
        <v>40</v>
      </c>
      <c r="F622" s="283">
        <v>300000</v>
      </c>
      <c r="G622" s="75">
        <f t="shared" si="198"/>
        <v>2948400</v>
      </c>
      <c r="H622" s="535"/>
      <c r="I622" s="541">
        <v>344220.91</v>
      </c>
      <c r="J622" s="560">
        <f t="shared" si="197"/>
        <v>3383003.1034799996</v>
      </c>
      <c r="K622" s="560">
        <f t="shared" si="191"/>
        <v>87.153334177171288</v>
      </c>
      <c r="L622" s="528"/>
      <c r="M622" s="528"/>
    </row>
    <row r="623" spans="1:13" s="42" customFormat="1" ht="20.100000000000001" customHeight="1">
      <c r="A623" s="66">
        <f>1+A621</f>
        <v>11</v>
      </c>
      <c r="B623" s="272" t="s">
        <v>206</v>
      </c>
      <c r="C623" s="273"/>
      <c r="D623" s="282">
        <v>23.750999999999998</v>
      </c>
      <c r="E623" s="45" t="s">
        <v>40</v>
      </c>
      <c r="F623" s="46">
        <v>60000</v>
      </c>
      <c r="G623" s="75">
        <f t="shared" si="198"/>
        <v>1425059.9999999998</v>
      </c>
      <c r="H623" s="535"/>
      <c r="I623" s="46">
        <v>78200.496000000014</v>
      </c>
      <c r="J623" s="560">
        <f t="shared" si="197"/>
        <v>1857339.980496</v>
      </c>
      <c r="K623" s="560">
        <f t="shared" si="191"/>
        <v>76.725856061066395</v>
      </c>
      <c r="L623" s="528"/>
      <c r="M623" s="528"/>
    </row>
    <row r="624" spans="1:13" s="42" customFormat="1" ht="20.100000000000001" customHeight="1">
      <c r="A624" s="66">
        <f t="shared" si="199"/>
        <v>12</v>
      </c>
      <c r="B624" s="272" t="s">
        <v>94</v>
      </c>
      <c r="C624" s="273"/>
      <c r="D624" s="282">
        <v>7.0433999999999992</v>
      </c>
      <c r="E624" s="45" t="s">
        <v>40</v>
      </c>
      <c r="F624" s="46">
        <v>40000</v>
      </c>
      <c r="G624" s="75">
        <f t="shared" si="198"/>
        <v>281735.99999999994</v>
      </c>
      <c r="H624" s="535"/>
      <c r="I624" s="46">
        <v>45665.675000000003</v>
      </c>
      <c r="J624" s="560">
        <f t="shared" si="197"/>
        <v>321641.61529499997</v>
      </c>
      <c r="K624" s="560">
        <f t="shared" si="191"/>
        <v>87.5931429897839</v>
      </c>
      <c r="L624" s="528"/>
      <c r="M624" s="528"/>
    </row>
    <row r="625" spans="1:13" s="42" customFormat="1" ht="20.100000000000001" customHeight="1">
      <c r="A625" s="66">
        <f t="shared" si="199"/>
        <v>13</v>
      </c>
      <c r="B625" s="286" t="s">
        <v>202</v>
      </c>
      <c r="C625" s="281"/>
      <c r="D625" s="74">
        <v>30.720000000000002</v>
      </c>
      <c r="E625" s="289" t="s">
        <v>58</v>
      </c>
      <c r="F625" s="290">
        <v>50000</v>
      </c>
      <c r="G625" s="75">
        <f t="shared" si="198"/>
        <v>1536000.0000000002</v>
      </c>
      <c r="H625" s="535"/>
      <c r="I625" s="546">
        <v>47897.575000000004</v>
      </c>
      <c r="J625" s="560">
        <f t="shared" si="197"/>
        <v>1471413.5040000002</v>
      </c>
      <c r="K625" s="560">
        <f t="shared" si="191"/>
        <v>104.38941846220816</v>
      </c>
      <c r="L625" s="528"/>
      <c r="M625" s="528"/>
    </row>
    <row r="626" spans="1:13" s="42" customFormat="1" ht="20.100000000000001" customHeight="1">
      <c r="A626" s="66">
        <f t="shared" si="199"/>
        <v>14</v>
      </c>
      <c r="B626" s="286" t="s">
        <v>210</v>
      </c>
      <c r="C626" s="281"/>
      <c r="D626" s="74">
        <v>136.13999999999999</v>
      </c>
      <c r="E626" s="289" t="s">
        <v>80</v>
      </c>
      <c r="F626" s="290">
        <v>15000</v>
      </c>
      <c r="G626" s="75">
        <f t="shared" si="198"/>
        <v>2042099.9999999998</v>
      </c>
      <c r="H626" s="535"/>
      <c r="I626" s="546">
        <v>12700</v>
      </c>
      <c r="J626" s="560">
        <f t="shared" si="197"/>
        <v>1728977.9999999998</v>
      </c>
      <c r="K626" s="560">
        <f t="shared" si="191"/>
        <v>118.11023622047243</v>
      </c>
      <c r="L626" s="528"/>
      <c r="M626" s="528"/>
    </row>
    <row r="627" spans="1:13" s="42" customFormat="1" ht="20.100000000000001" customHeight="1">
      <c r="A627" s="66">
        <f t="shared" si="199"/>
        <v>15</v>
      </c>
      <c r="B627" s="280" t="s">
        <v>204</v>
      </c>
      <c r="C627" s="288"/>
      <c r="D627" s="74">
        <v>37.763400000000004</v>
      </c>
      <c r="E627" s="65" t="s">
        <v>38</v>
      </c>
      <c r="F627" s="291">
        <v>40000</v>
      </c>
      <c r="G627" s="75">
        <f t="shared" si="198"/>
        <v>1510536.0000000002</v>
      </c>
      <c r="H627" s="535"/>
      <c r="I627" s="547">
        <v>43410.400000000001</v>
      </c>
      <c r="J627" s="560">
        <f t="shared" si="197"/>
        <v>1639324.2993600003</v>
      </c>
      <c r="K627" s="560">
        <f t="shared" si="191"/>
        <v>92.143818071245605</v>
      </c>
      <c r="L627" s="528"/>
      <c r="M627" s="528"/>
    </row>
    <row r="628" spans="1:13" s="42" customFormat="1" ht="20.100000000000001" customHeight="1">
      <c r="A628" s="66">
        <f t="shared" si="199"/>
        <v>16</v>
      </c>
      <c r="B628" s="280" t="s">
        <v>203</v>
      </c>
      <c r="C628" s="288"/>
      <c r="D628" s="74">
        <v>2.8063199999999999</v>
      </c>
      <c r="E628" s="65" t="s">
        <v>38</v>
      </c>
      <c r="F628" s="290">
        <v>350000</v>
      </c>
      <c r="G628" s="75">
        <f t="shared" si="198"/>
        <v>982212</v>
      </c>
      <c r="H628" s="535"/>
      <c r="I628" s="546">
        <v>260000</v>
      </c>
      <c r="J628" s="560">
        <f t="shared" si="197"/>
        <v>729643.2</v>
      </c>
      <c r="K628" s="560">
        <f t="shared" si="191"/>
        <v>134.61538461538461</v>
      </c>
      <c r="L628" s="528"/>
      <c r="M628" s="528"/>
    </row>
    <row r="629" spans="1:13" s="42" customFormat="1" ht="20.100000000000001" customHeight="1">
      <c r="A629" s="66">
        <f t="shared" si="199"/>
        <v>17</v>
      </c>
      <c r="B629" s="280" t="s">
        <v>59</v>
      </c>
      <c r="C629" s="288"/>
      <c r="D629" s="74">
        <v>3</v>
      </c>
      <c r="E629" s="289" t="s">
        <v>60</v>
      </c>
      <c r="F629" s="277">
        <v>250000</v>
      </c>
      <c r="G629" s="75">
        <f t="shared" si="198"/>
        <v>750000</v>
      </c>
      <c r="H629" s="535"/>
      <c r="I629" s="277">
        <v>75000</v>
      </c>
      <c r="J629" s="560">
        <f t="shared" si="197"/>
        <v>225000</v>
      </c>
      <c r="K629" s="560">
        <f t="shared" si="191"/>
        <v>333.33333333333337</v>
      </c>
      <c r="L629" s="528"/>
      <c r="M629" s="528"/>
    </row>
    <row r="630" spans="1:13" s="42" customFormat="1" ht="20.100000000000001" customHeight="1">
      <c r="A630" s="66">
        <f t="shared" si="199"/>
        <v>18</v>
      </c>
      <c r="B630" s="280" t="s">
        <v>207</v>
      </c>
      <c r="C630" s="288"/>
      <c r="D630" s="74">
        <v>4.6772</v>
      </c>
      <c r="E630" s="65" t="s">
        <v>40</v>
      </c>
      <c r="F630" s="290">
        <f>(15*15000)*1.2</f>
        <v>270000</v>
      </c>
      <c r="G630" s="75">
        <f t="shared" si="198"/>
        <v>1262844</v>
      </c>
      <c r="H630" s="535"/>
      <c r="I630" s="546">
        <v>200000</v>
      </c>
      <c r="J630" s="560">
        <f t="shared" si="197"/>
        <v>935440</v>
      </c>
      <c r="K630" s="560">
        <f t="shared" si="191"/>
        <v>135</v>
      </c>
      <c r="L630" s="528"/>
      <c r="M630" s="528"/>
    </row>
    <row r="631" spans="1:13" s="42" customFormat="1" ht="20.100000000000001" customHeight="1">
      <c r="A631" s="99"/>
      <c r="B631" s="195"/>
      <c r="C631" s="196"/>
      <c r="D631" s="100"/>
      <c r="E631" s="101"/>
      <c r="F631" s="102"/>
      <c r="G631" s="145"/>
      <c r="H631" s="535"/>
      <c r="I631" s="556"/>
      <c r="J631" s="560"/>
      <c r="K631" s="560"/>
      <c r="L631" s="528"/>
      <c r="M631" s="528"/>
    </row>
    <row r="632" spans="1:13" s="42" customFormat="1" ht="20.100000000000001" customHeight="1">
      <c r="A632" s="76" t="s">
        <v>196</v>
      </c>
      <c r="B632" s="181" t="s">
        <v>244</v>
      </c>
      <c r="C632" s="182"/>
      <c r="D632" s="77"/>
      <c r="E632" s="78"/>
      <c r="F632" s="79"/>
      <c r="G632" s="80">
        <f>SUM(G634:G665)</f>
        <v>574524133.96799994</v>
      </c>
      <c r="H632" s="535"/>
      <c r="I632" s="544"/>
      <c r="J632" s="568"/>
      <c r="K632" s="560"/>
      <c r="L632" s="528"/>
      <c r="M632" s="528"/>
    </row>
    <row r="633" spans="1:13" s="42" customFormat="1" ht="20.100000000000001" customHeight="1">
      <c r="A633" s="146"/>
      <c r="B633" s="197" t="s">
        <v>213</v>
      </c>
      <c r="C633" s="313"/>
      <c r="D633" s="314"/>
      <c r="E633" s="315"/>
      <c r="F633" s="316"/>
      <c r="G633" s="147"/>
      <c r="H633" s="535"/>
      <c r="I633" s="557"/>
      <c r="J633" s="574"/>
      <c r="K633" s="560"/>
      <c r="L633" s="528"/>
      <c r="M633" s="528"/>
    </row>
    <row r="634" spans="1:13" s="42" customFormat="1" ht="20.100000000000001" customHeight="1">
      <c r="A634" s="99"/>
      <c r="B634" s="198" t="s">
        <v>211</v>
      </c>
      <c r="C634" s="196"/>
      <c r="D634" s="100"/>
      <c r="E634" s="101"/>
      <c r="F634" s="102"/>
      <c r="G634" s="317"/>
      <c r="H634" s="535"/>
      <c r="I634" s="556"/>
      <c r="J634" s="560"/>
      <c r="K634" s="560"/>
      <c r="L634" s="528"/>
      <c r="M634" s="528"/>
    </row>
    <row r="635" spans="1:13" s="42" customFormat="1" ht="30.75" customHeight="1">
      <c r="A635" s="318">
        <v>1</v>
      </c>
      <c r="B635" s="588" t="s">
        <v>290</v>
      </c>
      <c r="C635" s="589"/>
      <c r="D635" s="319">
        <v>390.59</v>
      </c>
      <c r="E635" s="320" t="s">
        <v>52</v>
      </c>
      <c r="F635" s="152">
        <f>575000*1.4</f>
        <v>805000</v>
      </c>
      <c r="G635" s="149">
        <f t="shared" ref="G635:G640" si="201">D635*F635</f>
        <v>314424950</v>
      </c>
      <c r="H635" s="535"/>
      <c r="I635" s="558">
        <v>746989.89749999996</v>
      </c>
      <c r="J635" s="560">
        <f t="shared" ref="J635:J665" si="202">D635*I635</f>
        <v>291766784.06452495</v>
      </c>
      <c r="K635" s="560">
        <f t="shared" si="191"/>
        <v>107.76584833264093</v>
      </c>
      <c r="L635" s="528"/>
      <c r="M635" s="528"/>
    </row>
    <row r="636" spans="1:13" s="42" customFormat="1" ht="20.100000000000001" customHeight="1">
      <c r="A636" s="318">
        <f>1+A635</f>
        <v>2</v>
      </c>
      <c r="B636" s="321" t="s">
        <v>19</v>
      </c>
      <c r="C636" s="322"/>
      <c r="D636" s="319">
        <v>37.496639999999999</v>
      </c>
      <c r="E636" s="45" t="s">
        <v>38</v>
      </c>
      <c r="F636" s="323">
        <f>F612</f>
        <v>90000</v>
      </c>
      <c r="G636" s="149">
        <f t="shared" si="201"/>
        <v>3374697.6</v>
      </c>
      <c r="H636" s="535"/>
      <c r="I636" s="559">
        <v>68612.5</v>
      </c>
      <c r="J636" s="560">
        <f t="shared" si="202"/>
        <v>2572738.2119999998</v>
      </c>
      <c r="K636" s="560">
        <f t="shared" si="191"/>
        <v>131.17143377664419</v>
      </c>
      <c r="L636" s="528"/>
      <c r="M636" s="528"/>
    </row>
    <row r="637" spans="1:13" s="42" customFormat="1" ht="20.100000000000001" customHeight="1">
      <c r="A637" s="318">
        <f t="shared" ref="A637:A640" si="203">A636+1</f>
        <v>3</v>
      </c>
      <c r="B637" s="324" t="s">
        <v>10</v>
      </c>
      <c r="C637" s="273"/>
      <c r="D637" s="319">
        <v>5.8588499999999994</v>
      </c>
      <c r="E637" s="45" t="s">
        <v>38</v>
      </c>
      <c r="F637" s="325">
        <f>F614</f>
        <v>350000</v>
      </c>
      <c r="G637" s="149">
        <f t="shared" si="201"/>
        <v>2050597.4999999998</v>
      </c>
      <c r="H637" s="535"/>
      <c r="I637" s="46">
        <v>257207.50000000003</v>
      </c>
      <c r="J637" s="560">
        <f t="shared" si="202"/>
        <v>1506940.1613750001</v>
      </c>
      <c r="K637" s="560">
        <f t="shared" si="191"/>
        <v>136.07690288969022</v>
      </c>
      <c r="L637" s="528"/>
      <c r="M637" s="528"/>
    </row>
    <row r="638" spans="1:13" s="42" customFormat="1" ht="20.100000000000001" customHeight="1">
      <c r="A638" s="318">
        <f t="shared" si="203"/>
        <v>4</v>
      </c>
      <c r="B638" s="324" t="s">
        <v>50</v>
      </c>
      <c r="C638" s="273"/>
      <c r="D638" s="274">
        <v>29.294249999999998</v>
      </c>
      <c r="E638" s="45" t="s">
        <v>38</v>
      </c>
      <c r="F638" s="325">
        <f>F620</f>
        <v>900000</v>
      </c>
      <c r="G638" s="149">
        <f t="shared" si="201"/>
        <v>26364825</v>
      </c>
      <c r="H638" s="535"/>
      <c r="I638" s="46">
        <v>1120599.7000000002</v>
      </c>
      <c r="J638" s="560">
        <f t="shared" si="202"/>
        <v>32827127.761725005</v>
      </c>
      <c r="K638" s="560">
        <f t="shared" si="191"/>
        <v>80.314138938284557</v>
      </c>
      <c r="L638" s="528"/>
      <c r="M638" s="528"/>
    </row>
    <row r="639" spans="1:13" s="42" customFormat="1" ht="20.100000000000001" customHeight="1">
      <c r="A639" s="318">
        <f t="shared" si="203"/>
        <v>5</v>
      </c>
      <c r="B639" s="324" t="s">
        <v>116</v>
      </c>
      <c r="C639" s="273"/>
      <c r="D639" s="274">
        <v>304.66019999999997</v>
      </c>
      <c r="E639" s="45" t="s">
        <v>40</v>
      </c>
      <c r="F639" s="325">
        <f>F623</f>
        <v>60000</v>
      </c>
      <c r="G639" s="149">
        <f t="shared" si="201"/>
        <v>18279612</v>
      </c>
      <c r="H639" s="535"/>
      <c r="I639" s="46">
        <v>111088.2828</v>
      </c>
      <c r="J639" s="560">
        <f t="shared" si="202"/>
        <v>33844178.455504559</v>
      </c>
      <c r="K639" s="576">
        <f t="shared" si="191"/>
        <v>54.011096839098862</v>
      </c>
      <c r="L639" s="528"/>
      <c r="M639" s="528"/>
    </row>
    <row r="640" spans="1:13" s="42" customFormat="1" ht="20.100000000000001" customHeight="1">
      <c r="A640" s="318">
        <f t="shared" si="203"/>
        <v>6</v>
      </c>
      <c r="B640" s="324" t="s">
        <v>94</v>
      </c>
      <c r="C640" s="273"/>
      <c r="D640" s="274">
        <v>29.247379200000001</v>
      </c>
      <c r="E640" s="45" t="s">
        <v>40</v>
      </c>
      <c r="F640" s="325">
        <f>F624</f>
        <v>40000</v>
      </c>
      <c r="G640" s="149">
        <f t="shared" si="201"/>
        <v>1169895.1680000001</v>
      </c>
      <c r="H640" s="535"/>
      <c r="I640" s="46">
        <v>45665.675000000003</v>
      </c>
      <c r="J640" s="560">
        <f t="shared" si="202"/>
        <v>1335601.3131489602</v>
      </c>
      <c r="K640" s="560">
        <f t="shared" si="191"/>
        <v>87.5931429897839</v>
      </c>
      <c r="L640" s="528"/>
      <c r="M640" s="528"/>
    </row>
    <row r="641" spans="1:13" s="42" customFormat="1" ht="20.100000000000001" customHeight="1">
      <c r="A641" s="99"/>
      <c r="B641" s="198" t="s">
        <v>212</v>
      </c>
      <c r="C641" s="196"/>
      <c r="D641" s="100"/>
      <c r="E641" s="101"/>
      <c r="F641" s="102"/>
      <c r="G641" s="149"/>
      <c r="H641" s="535"/>
      <c r="I641" s="556"/>
      <c r="J641" s="560">
        <f t="shared" si="202"/>
        <v>0</v>
      </c>
      <c r="K641" s="560"/>
      <c r="L641" s="528"/>
      <c r="M641" s="528"/>
    </row>
    <row r="642" spans="1:13" s="42" customFormat="1" ht="20.100000000000001" customHeight="1">
      <c r="A642" s="66">
        <f>A640+1</f>
        <v>7</v>
      </c>
      <c r="B642" s="278" t="s">
        <v>235</v>
      </c>
      <c r="C642" s="184"/>
      <c r="D642" s="64">
        <v>574.16729999999995</v>
      </c>
      <c r="E642" s="65" t="s">
        <v>40</v>
      </c>
      <c r="F642" s="277">
        <f>F554</f>
        <v>10000</v>
      </c>
      <c r="G642" s="67">
        <f t="shared" ref="G642" si="204">D642*F642</f>
        <v>5741673</v>
      </c>
      <c r="H642" s="535"/>
      <c r="I642" s="277">
        <v>13007.500000000002</v>
      </c>
      <c r="J642" s="560">
        <f t="shared" si="202"/>
        <v>7468481.1547500007</v>
      </c>
      <c r="K642" s="560">
        <f t="shared" si="191"/>
        <v>76.878723813184692</v>
      </c>
      <c r="L642" s="528"/>
      <c r="M642" s="528"/>
    </row>
    <row r="643" spans="1:13" s="42" customFormat="1" ht="20.100000000000001" customHeight="1">
      <c r="A643" s="66">
        <f t="shared" ref="A643:A649" si="205">A642+1</f>
        <v>8</v>
      </c>
      <c r="B643" s="280" t="s">
        <v>124</v>
      </c>
      <c r="C643" s="288"/>
      <c r="D643" s="74">
        <v>45.699029999999993</v>
      </c>
      <c r="E643" s="289" t="s">
        <v>61</v>
      </c>
      <c r="F643" s="291">
        <f>F555</f>
        <v>250000</v>
      </c>
      <c r="G643" s="292">
        <f>D643*F643</f>
        <v>11424757.499999998</v>
      </c>
      <c r="H643" s="535"/>
      <c r="I643" s="547">
        <v>250318.75000000003</v>
      </c>
      <c r="J643" s="560">
        <f t="shared" si="202"/>
        <v>11439324.0658125</v>
      </c>
      <c r="K643" s="560">
        <f t="shared" si="191"/>
        <v>99.872662355496729</v>
      </c>
      <c r="L643" s="528"/>
      <c r="M643" s="528"/>
    </row>
    <row r="644" spans="1:13" s="42" customFormat="1" ht="20.100000000000001" customHeight="1">
      <c r="A644" s="66">
        <f>A643+1</f>
        <v>9</v>
      </c>
      <c r="B644" s="278" t="s">
        <v>283</v>
      </c>
      <c r="C644" s="184"/>
      <c r="D644" s="64">
        <v>128.8947</v>
      </c>
      <c r="E644" s="65" t="s">
        <v>56</v>
      </c>
      <c r="F644" s="291">
        <f>((25000*10)+50000)*1.2</f>
        <v>360000</v>
      </c>
      <c r="G644" s="67">
        <f t="shared" ref="G644" si="206">D644*F644</f>
        <v>46402092</v>
      </c>
      <c r="H644" s="535"/>
      <c r="I644" s="547">
        <v>626309.75</v>
      </c>
      <c r="J644" s="560">
        <f t="shared" si="202"/>
        <v>80728007.333324999</v>
      </c>
      <c r="K644" s="576">
        <f t="shared" si="191"/>
        <v>57.479545863688053</v>
      </c>
      <c r="L644" s="528"/>
      <c r="M644" s="528"/>
    </row>
    <row r="645" spans="1:13" s="42" customFormat="1" ht="20.100000000000001" customHeight="1">
      <c r="A645" s="66">
        <f>A644+1</f>
        <v>10</v>
      </c>
      <c r="B645" s="278" t="s">
        <v>133</v>
      </c>
      <c r="C645" s="184"/>
      <c r="D645" s="64">
        <v>328.09559999999999</v>
      </c>
      <c r="E645" s="65" t="s">
        <v>56</v>
      </c>
      <c r="F645" s="291">
        <f>F556</f>
        <v>161000</v>
      </c>
      <c r="G645" s="67">
        <f t="shared" ref="G645:G649" si="207">D645*F645</f>
        <v>52823391.600000001</v>
      </c>
      <c r="H645" s="535"/>
      <c r="I645" s="547">
        <v>166919.5</v>
      </c>
      <c r="J645" s="560">
        <f t="shared" si="202"/>
        <v>54765553.504199997</v>
      </c>
      <c r="K645" s="560">
        <f t="shared" si="191"/>
        <v>96.453679767792252</v>
      </c>
      <c r="L645" s="528"/>
      <c r="M645" s="528"/>
    </row>
    <row r="646" spans="1:13" s="42" customFormat="1" ht="20.100000000000001" customHeight="1">
      <c r="A646" s="66">
        <f t="shared" si="205"/>
        <v>11</v>
      </c>
      <c r="B646" s="278" t="s">
        <v>282</v>
      </c>
      <c r="C646" s="184"/>
      <c r="D646" s="64">
        <v>351.53099999999995</v>
      </c>
      <c r="E646" s="65" t="s">
        <v>52</v>
      </c>
      <c r="F646" s="291">
        <f>F212</f>
        <v>94800</v>
      </c>
      <c r="G646" s="67">
        <f t="shared" ref="G646" si="208">D646*F646</f>
        <v>33325138.799999997</v>
      </c>
      <c r="H646" s="535"/>
      <c r="I646" s="547">
        <v>180698.375</v>
      </c>
      <c r="J646" s="560">
        <f t="shared" si="202"/>
        <v>63521080.462124988</v>
      </c>
      <c r="K646" s="576">
        <f t="shared" si="191"/>
        <v>52.463117059021705</v>
      </c>
      <c r="L646" s="528"/>
      <c r="M646" s="528"/>
    </row>
    <row r="647" spans="1:13" s="42" customFormat="1" ht="20.100000000000001" customHeight="1">
      <c r="A647" s="66">
        <f t="shared" si="205"/>
        <v>12</v>
      </c>
      <c r="B647" s="278" t="s">
        <v>288</v>
      </c>
      <c r="C647" s="184"/>
      <c r="D647" s="64">
        <v>39.058999999999997</v>
      </c>
      <c r="E647" s="65" t="s">
        <v>52</v>
      </c>
      <c r="F647" s="291">
        <f>F213</f>
        <v>94800</v>
      </c>
      <c r="G647" s="67">
        <f t="shared" ref="G647" si="209">D647*F647</f>
        <v>3702793.1999999997</v>
      </c>
      <c r="H647" s="535"/>
      <c r="I647" s="542">
        <v>180698.375</v>
      </c>
      <c r="J647" s="560">
        <f t="shared" si="202"/>
        <v>7057897.8291249992</v>
      </c>
      <c r="K647" s="576">
        <f t="shared" si="191"/>
        <v>52.463117059021705</v>
      </c>
      <c r="L647" s="528"/>
      <c r="M647" s="528"/>
    </row>
    <row r="648" spans="1:13" s="42" customFormat="1" ht="20.100000000000001" customHeight="1">
      <c r="A648" s="66">
        <f t="shared" si="205"/>
        <v>13</v>
      </c>
      <c r="B648" s="278" t="s">
        <v>134</v>
      </c>
      <c r="C648" s="184"/>
      <c r="D648" s="64">
        <v>390.59</v>
      </c>
      <c r="E648" s="65" t="s">
        <v>52</v>
      </c>
      <c r="F648" s="287">
        <f>(23000*2.5)*1.4</f>
        <v>80500</v>
      </c>
      <c r="G648" s="67">
        <f t="shared" si="207"/>
        <v>31442494.999999996</v>
      </c>
      <c r="H648" s="535"/>
      <c r="I648" s="542">
        <v>138898.375</v>
      </c>
      <c r="J648" s="560">
        <f t="shared" si="202"/>
        <v>54252316.291249998</v>
      </c>
      <c r="K648" s="576">
        <f t="shared" si="191"/>
        <v>57.956041602358553</v>
      </c>
      <c r="L648" s="528"/>
      <c r="M648" s="528"/>
    </row>
    <row r="649" spans="1:13" s="42" customFormat="1" ht="20.100000000000001" customHeight="1">
      <c r="A649" s="66">
        <f t="shared" si="205"/>
        <v>14</v>
      </c>
      <c r="B649" s="326" t="s">
        <v>289</v>
      </c>
      <c r="C649" s="327"/>
      <c r="D649" s="328">
        <v>58.588499999999996</v>
      </c>
      <c r="E649" s="65" t="s">
        <v>52</v>
      </c>
      <c r="F649" s="212">
        <f>340000/3</f>
        <v>113333.33333333333</v>
      </c>
      <c r="G649" s="67">
        <f t="shared" si="207"/>
        <v>6640029.9999999991</v>
      </c>
      <c r="H649" s="535"/>
      <c r="I649" s="547">
        <v>97000</v>
      </c>
      <c r="J649" s="560">
        <f t="shared" si="202"/>
        <v>5683084.5</v>
      </c>
      <c r="K649" s="560">
        <f t="shared" si="191"/>
        <v>116.83848797250857</v>
      </c>
      <c r="L649" s="528"/>
      <c r="M649" s="528"/>
    </row>
    <row r="650" spans="1:13" s="42" customFormat="1" ht="20.100000000000001" customHeight="1">
      <c r="A650" s="148"/>
      <c r="B650" s="183" t="s">
        <v>214</v>
      </c>
      <c r="C650" s="184"/>
      <c r="D650" s="64"/>
      <c r="E650" s="65"/>
      <c r="F650" s="291"/>
      <c r="G650" s="329"/>
      <c r="H650" s="535"/>
      <c r="I650" s="547"/>
      <c r="J650" s="560">
        <f t="shared" si="202"/>
        <v>0</v>
      </c>
      <c r="K650" s="560"/>
      <c r="L650" s="528"/>
      <c r="M650" s="528"/>
    </row>
    <row r="651" spans="1:13" s="42" customFormat="1" ht="20.100000000000001" customHeight="1">
      <c r="A651" s="99"/>
      <c r="B651" s="198" t="s">
        <v>211</v>
      </c>
      <c r="C651" s="196"/>
      <c r="D651" s="100"/>
      <c r="E651" s="101"/>
      <c r="F651" s="102"/>
      <c r="G651" s="330"/>
      <c r="H651" s="535"/>
      <c r="I651" s="556"/>
      <c r="J651" s="560">
        <f t="shared" si="202"/>
        <v>0</v>
      </c>
      <c r="K651" s="560"/>
      <c r="L651" s="528"/>
      <c r="M651" s="528"/>
    </row>
    <row r="652" spans="1:13" s="42" customFormat="1" ht="31.7" customHeight="1">
      <c r="A652" s="318">
        <f>1+A649</f>
        <v>15</v>
      </c>
      <c r="B652" s="588" t="s">
        <v>290</v>
      </c>
      <c r="C652" s="589"/>
      <c r="D652" s="319">
        <v>12.22</v>
      </c>
      <c r="E652" s="320" t="s">
        <v>52</v>
      </c>
      <c r="F652" s="152">
        <f>F635</f>
        <v>805000</v>
      </c>
      <c r="G652" s="149">
        <f t="shared" ref="G652:G665" si="210">D652*F652</f>
        <v>9837100</v>
      </c>
      <c r="H652" s="535"/>
      <c r="I652" s="558">
        <v>746989.89749999996</v>
      </c>
      <c r="J652" s="560">
        <f t="shared" si="202"/>
        <v>9128216.5474500004</v>
      </c>
      <c r="K652" s="560">
        <f t="shared" si="191"/>
        <v>107.76584833264093</v>
      </c>
      <c r="L652" s="528"/>
      <c r="M652" s="528"/>
    </row>
    <row r="653" spans="1:13" s="42" customFormat="1" ht="20.100000000000001" customHeight="1">
      <c r="A653" s="318">
        <f>1+A652</f>
        <v>16</v>
      </c>
      <c r="B653" s="321" t="s">
        <v>19</v>
      </c>
      <c r="C653" s="322"/>
      <c r="D653" s="319">
        <v>1.1731200000000002</v>
      </c>
      <c r="E653" s="45" t="s">
        <v>38</v>
      </c>
      <c r="F653" s="152">
        <f t="shared" ref="F653:F656" si="211">F636</f>
        <v>90000</v>
      </c>
      <c r="G653" s="149">
        <f t="shared" si="210"/>
        <v>105580.80000000002</v>
      </c>
      <c r="H653" s="535"/>
      <c r="I653" s="558">
        <v>68612.5</v>
      </c>
      <c r="J653" s="560">
        <f t="shared" si="202"/>
        <v>80490.696000000011</v>
      </c>
      <c r="K653" s="560">
        <f t="shared" si="191"/>
        <v>131.17143377664419</v>
      </c>
      <c r="L653" s="528"/>
      <c r="M653" s="528"/>
    </row>
    <row r="654" spans="1:13" s="42" customFormat="1" ht="20.100000000000001" customHeight="1">
      <c r="A654" s="318">
        <f t="shared" ref="A654:A656" si="212">A653+1</f>
        <v>17</v>
      </c>
      <c r="B654" s="324" t="s">
        <v>10</v>
      </c>
      <c r="C654" s="273"/>
      <c r="D654" s="319">
        <v>0.18329999999999999</v>
      </c>
      <c r="E654" s="45" t="s">
        <v>38</v>
      </c>
      <c r="F654" s="152">
        <f t="shared" si="211"/>
        <v>350000</v>
      </c>
      <c r="G654" s="149">
        <f t="shared" si="210"/>
        <v>64155</v>
      </c>
      <c r="H654" s="535"/>
      <c r="I654" s="558">
        <v>257207.50000000003</v>
      </c>
      <c r="J654" s="560">
        <f t="shared" si="202"/>
        <v>47146.134750000005</v>
      </c>
      <c r="K654" s="560">
        <f t="shared" ref="K654:K717" si="213">F654/I654*100</f>
        <v>136.07690288969022</v>
      </c>
      <c r="L654" s="528"/>
      <c r="M654" s="528"/>
    </row>
    <row r="655" spans="1:13" s="42" customFormat="1" ht="20.100000000000001" customHeight="1">
      <c r="A655" s="318">
        <f t="shared" si="212"/>
        <v>18</v>
      </c>
      <c r="B655" s="324" t="s">
        <v>50</v>
      </c>
      <c r="C655" s="273"/>
      <c r="D655" s="274">
        <v>0.91649999999999998</v>
      </c>
      <c r="E655" s="45" t="s">
        <v>38</v>
      </c>
      <c r="F655" s="152">
        <f t="shared" si="211"/>
        <v>900000</v>
      </c>
      <c r="G655" s="149">
        <f t="shared" si="210"/>
        <v>824850</v>
      </c>
      <c r="H655" s="535"/>
      <c r="I655" s="558">
        <v>1120599.7000000002</v>
      </c>
      <c r="J655" s="560">
        <f t="shared" si="202"/>
        <v>1027029.6250500001</v>
      </c>
      <c r="K655" s="560">
        <f t="shared" si="213"/>
        <v>80.314138938284557</v>
      </c>
      <c r="L655" s="528"/>
      <c r="M655" s="528"/>
    </row>
    <row r="656" spans="1:13" s="42" customFormat="1" ht="20.100000000000001" customHeight="1">
      <c r="A656" s="318">
        <f t="shared" si="212"/>
        <v>19</v>
      </c>
      <c r="B656" s="324" t="s">
        <v>53</v>
      </c>
      <c r="C656" s="273"/>
      <c r="D656" s="274">
        <v>9.531600000000001</v>
      </c>
      <c r="E656" s="45" t="s">
        <v>40</v>
      </c>
      <c r="F656" s="152">
        <f t="shared" si="211"/>
        <v>60000</v>
      </c>
      <c r="G656" s="149">
        <f t="shared" si="210"/>
        <v>571896</v>
      </c>
      <c r="H656" s="535"/>
      <c r="I656" s="558">
        <v>111088.2828</v>
      </c>
      <c r="J656" s="560">
        <f t="shared" si="202"/>
        <v>1058849.0763364802</v>
      </c>
      <c r="K656" s="576">
        <f t="shared" si="213"/>
        <v>54.011096839098862</v>
      </c>
      <c r="L656" s="528"/>
      <c r="M656" s="528"/>
    </row>
    <row r="657" spans="1:13" s="42" customFormat="1" ht="20.100000000000001" customHeight="1">
      <c r="A657" s="99"/>
      <c r="B657" s="198" t="s">
        <v>212</v>
      </c>
      <c r="C657" s="196"/>
      <c r="D657" s="100"/>
      <c r="E657" s="101"/>
      <c r="F657" s="152"/>
      <c r="G657" s="149"/>
      <c r="H657" s="535"/>
      <c r="I657" s="558"/>
      <c r="J657" s="560">
        <f t="shared" si="202"/>
        <v>0</v>
      </c>
      <c r="K657" s="560"/>
      <c r="L657" s="528"/>
      <c r="M657" s="528"/>
    </row>
    <row r="658" spans="1:13" s="42" customFormat="1" ht="20.100000000000001" customHeight="1">
      <c r="A658" s="66">
        <f>A656+1</f>
        <v>20</v>
      </c>
      <c r="B658" s="278" t="s">
        <v>39</v>
      </c>
      <c r="C658" s="184"/>
      <c r="D658" s="64">
        <v>17.9634</v>
      </c>
      <c r="E658" s="65" t="s">
        <v>40</v>
      </c>
      <c r="F658" s="152">
        <f>F642</f>
        <v>10000</v>
      </c>
      <c r="G658" s="149">
        <f t="shared" si="210"/>
        <v>179634</v>
      </c>
      <c r="H658" s="535"/>
      <c r="I658" s="558">
        <v>13007.500000000002</v>
      </c>
      <c r="J658" s="560">
        <f t="shared" si="202"/>
        <v>233658.92550000004</v>
      </c>
      <c r="K658" s="560">
        <f t="shared" si="213"/>
        <v>76.878723813184692</v>
      </c>
      <c r="L658" s="528"/>
      <c r="M658" s="528"/>
    </row>
    <row r="659" spans="1:13" s="42" customFormat="1" ht="20.100000000000001" customHeight="1">
      <c r="A659" s="66">
        <f t="shared" ref="A659:A665" si="214">A658+1</f>
        <v>21</v>
      </c>
      <c r="B659" s="280" t="s">
        <v>124</v>
      </c>
      <c r="C659" s="288"/>
      <c r="D659" s="74">
        <v>1.42974</v>
      </c>
      <c r="E659" s="289" t="s">
        <v>61</v>
      </c>
      <c r="F659" s="152">
        <f t="shared" ref="F659:F664" si="215">F643</f>
        <v>250000</v>
      </c>
      <c r="G659" s="149">
        <f t="shared" si="210"/>
        <v>357435</v>
      </c>
      <c r="H659" s="535"/>
      <c r="I659" s="558">
        <v>250318.75000000003</v>
      </c>
      <c r="J659" s="560">
        <f t="shared" si="202"/>
        <v>357890.72962500004</v>
      </c>
      <c r="K659" s="560">
        <f t="shared" si="213"/>
        <v>99.872662355496729</v>
      </c>
      <c r="L659" s="528"/>
      <c r="M659" s="528"/>
    </row>
    <row r="660" spans="1:13" s="42" customFormat="1" ht="20.100000000000001" customHeight="1">
      <c r="A660" s="66">
        <f>A659+1</f>
        <v>22</v>
      </c>
      <c r="B660" s="278" t="s">
        <v>283</v>
      </c>
      <c r="C660" s="184"/>
      <c r="D660" s="64">
        <v>4.0326000000000004</v>
      </c>
      <c r="E660" s="65" t="s">
        <v>56</v>
      </c>
      <c r="F660" s="152">
        <f t="shared" si="215"/>
        <v>360000</v>
      </c>
      <c r="G660" s="67">
        <f t="shared" si="210"/>
        <v>1451736.0000000002</v>
      </c>
      <c r="H660" s="535"/>
      <c r="I660" s="547">
        <v>626309.75</v>
      </c>
      <c r="J660" s="560">
        <f t="shared" si="202"/>
        <v>2525656.6978500001</v>
      </c>
      <c r="K660" s="576">
        <f t="shared" si="213"/>
        <v>57.479545863688053</v>
      </c>
      <c r="L660" s="528"/>
      <c r="M660" s="528"/>
    </row>
    <row r="661" spans="1:13" s="42" customFormat="1" ht="20.100000000000001" customHeight="1">
      <c r="A661" s="66">
        <f>A660+1</f>
        <v>23</v>
      </c>
      <c r="B661" s="278" t="s">
        <v>133</v>
      </c>
      <c r="C661" s="184"/>
      <c r="D661" s="64">
        <v>10.264800000000001</v>
      </c>
      <c r="E661" s="65" t="s">
        <v>56</v>
      </c>
      <c r="F661" s="152">
        <f t="shared" si="215"/>
        <v>161000</v>
      </c>
      <c r="G661" s="149">
        <f t="shared" si="210"/>
        <v>1652632.8000000003</v>
      </c>
      <c r="H661" s="535"/>
      <c r="I661" s="558">
        <v>166919.5</v>
      </c>
      <c r="J661" s="560">
        <f t="shared" si="202"/>
        <v>1713395.2836000002</v>
      </c>
      <c r="K661" s="560">
        <f t="shared" si="213"/>
        <v>96.453679767792252</v>
      </c>
      <c r="L661" s="528"/>
      <c r="M661" s="528"/>
    </row>
    <row r="662" spans="1:13" s="42" customFormat="1" ht="20.100000000000001" customHeight="1">
      <c r="A662" s="66">
        <f t="shared" si="214"/>
        <v>24</v>
      </c>
      <c r="B662" s="278" t="s">
        <v>282</v>
      </c>
      <c r="C662" s="184"/>
      <c r="D662" s="64">
        <v>11.22</v>
      </c>
      <c r="E662" s="65" t="s">
        <v>52</v>
      </c>
      <c r="F662" s="152">
        <f t="shared" si="215"/>
        <v>94800</v>
      </c>
      <c r="G662" s="149">
        <f t="shared" si="210"/>
        <v>1063656</v>
      </c>
      <c r="H662" s="535"/>
      <c r="I662" s="558">
        <v>180698.375</v>
      </c>
      <c r="J662" s="560">
        <f t="shared" si="202"/>
        <v>2027435.7675000001</v>
      </c>
      <c r="K662" s="576">
        <f t="shared" si="213"/>
        <v>52.463117059021705</v>
      </c>
      <c r="L662" s="528"/>
      <c r="M662" s="528"/>
    </row>
    <row r="663" spans="1:13" s="42" customFormat="1" ht="20.100000000000001" customHeight="1">
      <c r="A663" s="66">
        <f t="shared" si="214"/>
        <v>25</v>
      </c>
      <c r="B663" s="278" t="s">
        <v>288</v>
      </c>
      <c r="C663" s="184"/>
      <c r="D663" s="64">
        <v>1</v>
      </c>
      <c r="E663" s="65" t="s">
        <v>52</v>
      </c>
      <c r="F663" s="152">
        <f t="shared" si="215"/>
        <v>94800</v>
      </c>
      <c r="G663" s="67">
        <f t="shared" si="210"/>
        <v>94800</v>
      </c>
      <c r="H663" s="535"/>
      <c r="I663" s="542">
        <v>180698.375</v>
      </c>
      <c r="J663" s="560">
        <f t="shared" si="202"/>
        <v>180698.375</v>
      </c>
      <c r="K663" s="576">
        <f t="shared" si="213"/>
        <v>52.463117059021705</v>
      </c>
      <c r="L663" s="528"/>
      <c r="M663" s="528"/>
    </row>
    <row r="664" spans="1:13" s="42" customFormat="1" ht="20.100000000000001" customHeight="1">
      <c r="A664" s="66">
        <f t="shared" si="214"/>
        <v>26</v>
      </c>
      <c r="B664" s="278" t="s">
        <v>134</v>
      </c>
      <c r="C664" s="184"/>
      <c r="D664" s="64">
        <v>12.22</v>
      </c>
      <c r="E664" s="65" t="s">
        <v>52</v>
      </c>
      <c r="F664" s="152">
        <f t="shared" si="215"/>
        <v>80500</v>
      </c>
      <c r="G664" s="149">
        <f t="shared" si="210"/>
        <v>983710</v>
      </c>
      <c r="H664" s="535"/>
      <c r="I664" s="558">
        <v>138898.375</v>
      </c>
      <c r="J664" s="560">
        <f t="shared" si="202"/>
        <v>1697338.1425000001</v>
      </c>
      <c r="K664" s="576">
        <f t="shared" si="213"/>
        <v>57.956041602358553</v>
      </c>
      <c r="L664" s="528"/>
      <c r="M664" s="528"/>
    </row>
    <row r="665" spans="1:13" s="42" customFormat="1" ht="20.100000000000001" customHeight="1">
      <c r="A665" s="66">
        <f t="shared" si="214"/>
        <v>27</v>
      </c>
      <c r="B665" s="326" t="s">
        <v>289</v>
      </c>
      <c r="C665" s="327"/>
      <c r="D665" s="328">
        <v>1.5</v>
      </c>
      <c r="E665" s="65" t="s">
        <v>52</v>
      </c>
      <c r="F665" s="212">
        <f>F649</f>
        <v>113333.33333333333</v>
      </c>
      <c r="G665" s="149">
        <f t="shared" si="210"/>
        <v>170000</v>
      </c>
      <c r="H665" s="535"/>
      <c r="I665" s="547">
        <v>97000</v>
      </c>
      <c r="J665" s="560">
        <f t="shared" si="202"/>
        <v>145500</v>
      </c>
      <c r="K665" s="560">
        <f t="shared" si="213"/>
        <v>116.83848797250857</v>
      </c>
      <c r="L665" s="528"/>
      <c r="M665" s="528"/>
    </row>
    <row r="666" spans="1:13" s="42" customFormat="1" ht="20.100000000000001" customHeight="1">
      <c r="A666" s="200"/>
      <c r="B666" s="201"/>
      <c r="C666" s="202"/>
      <c r="D666" s="203"/>
      <c r="E666" s="204"/>
      <c r="F666" s="205"/>
      <c r="G666" s="199"/>
      <c r="H666" s="535"/>
      <c r="I666" s="556"/>
      <c r="J666" s="560"/>
      <c r="K666" s="560"/>
      <c r="L666" s="528"/>
      <c r="M666" s="528"/>
    </row>
    <row r="667" spans="1:13" s="42" customFormat="1" ht="20.100000000000001" customHeight="1">
      <c r="A667" s="76" t="s">
        <v>245</v>
      </c>
      <c r="B667" s="181" t="s">
        <v>270</v>
      </c>
      <c r="C667" s="182"/>
      <c r="D667" s="77"/>
      <c r="E667" s="78"/>
      <c r="F667" s="79"/>
      <c r="G667" s="80">
        <f>SUM(G669:G773)</f>
        <v>810226539.01666665</v>
      </c>
      <c r="H667" s="535"/>
      <c r="I667" s="544"/>
      <c r="J667" s="568"/>
      <c r="K667" s="560"/>
      <c r="L667" s="528"/>
      <c r="M667" s="528"/>
    </row>
    <row r="668" spans="1:13" s="42" customFormat="1" ht="20.100000000000001" customHeight="1">
      <c r="A668" s="146"/>
      <c r="B668" s="213" t="s">
        <v>320</v>
      </c>
      <c r="C668" s="214"/>
      <c r="D668" s="215"/>
      <c r="E668" s="216"/>
      <c r="F668" s="217"/>
      <c r="G668" s="147"/>
      <c r="H668" s="535"/>
      <c r="I668" s="557"/>
      <c r="J668" s="574"/>
      <c r="K668" s="560"/>
      <c r="L668" s="528"/>
      <c r="M668" s="528"/>
    </row>
    <row r="669" spans="1:13" s="42" customFormat="1" ht="20.100000000000001" customHeight="1">
      <c r="A669" s="331">
        <f>1</f>
        <v>1</v>
      </c>
      <c r="B669" s="332" t="s">
        <v>37</v>
      </c>
      <c r="C669" s="333"/>
      <c r="D669" s="274"/>
      <c r="E669" s="45"/>
      <c r="F669" s="46"/>
      <c r="G669" s="275"/>
      <c r="H669" s="535"/>
      <c r="I669" s="46"/>
      <c r="J669" s="564"/>
      <c r="K669" s="560"/>
      <c r="L669" s="528"/>
      <c r="M669" s="528"/>
    </row>
    <row r="670" spans="1:13" s="42" customFormat="1" ht="20.100000000000001" customHeight="1">
      <c r="A670" s="331"/>
      <c r="B670" s="334" t="s">
        <v>5</v>
      </c>
      <c r="C670" s="335" t="s">
        <v>321</v>
      </c>
      <c r="D670" s="274">
        <v>18</v>
      </c>
      <c r="E670" s="45" t="s">
        <v>38</v>
      </c>
      <c r="F670" s="46">
        <f>F653</f>
        <v>90000</v>
      </c>
      <c r="G670" s="275">
        <f t="shared" ref="G670:G684" si="216">D670*F670</f>
        <v>1620000</v>
      </c>
      <c r="H670" s="535"/>
      <c r="I670" s="46">
        <v>68612.5</v>
      </c>
      <c r="J670" s="560">
        <f t="shared" ref="J670:J733" si="217">D670*I670</f>
        <v>1235025</v>
      </c>
      <c r="K670" s="560">
        <f t="shared" si="213"/>
        <v>131.17143377664419</v>
      </c>
      <c r="L670" s="528"/>
      <c r="M670" s="528"/>
    </row>
    <row r="671" spans="1:13" s="42" customFormat="1" ht="20.100000000000001" customHeight="1">
      <c r="A671" s="331"/>
      <c r="B671" s="334" t="s">
        <v>5</v>
      </c>
      <c r="C671" s="335" t="s">
        <v>359</v>
      </c>
      <c r="D671" s="274">
        <v>15.6</v>
      </c>
      <c r="E671" s="45" t="s">
        <v>38</v>
      </c>
      <c r="F671" s="46">
        <f>F670</f>
        <v>90000</v>
      </c>
      <c r="G671" s="275">
        <f t="shared" si="216"/>
        <v>1404000</v>
      </c>
      <c r="H671" s="535"/>
      <c r="I671" s="46">
        <v>68612.5</v>
      </c>
      <c r="J671" s="560">
        <f t="shared" si="217"/>
        <v>1070355</v>
      </c>
      <c r="K671" s="560">
        <f t="shared" si="213"/>
        <v>131.17143377664419</v>
      </c>
      <c r="L671" s="528"/>
      <c r="M671" s="528"/>
    </row>
    <row r="672" spans="1:13" s="42" customFormat="1" ht="20.100000000000001" customHeight="1">
      <c r="A672" s="331">
        <f>A669+1</f>
        <v>2</v>
      </c>
      <c r="B672" s="333" t="s">
        <v>322</v>
      </c>
      <c r="C672" s="336"/>
      <c r="D672" s="274">
        <v>24.048999999999999</v>
      </c>
      <c r="E672" s="45" t="s">
        <v>38</v>
      </c>
      <c r="F672" s="46">
        <v>30000</v>
      </c>
      <c r="G672" s="275">
        <f t="shared" si="216"/>
        <v>721470</v>
      </c>
      <c r="H672" s="535"/>
      <c r="I672" s="46">
        <v>22870.833333333332</v>
      </c>
      <c r="J672" s="560">
        <f t="shared" si="217"/>
        <v>550020.67083333328</v>
      </c>
      <c r="K672" s="560">
        <f t="shared" si="213"/>
        <v>131.17143377664419</v>
      </c>
      <c r="L672" s="528"/>
      <c r="M672" s="528"/>
    </row>
    <row r="673" spans="1:13" s="42" customFormat="1" ht="20.100000000000001" customHeight="1">
      <c r="A673" s="331">
        <f>A672+1</f>
        <v>3</v>
      </c>
      <c r="B673" s="272" t="s">
        <v>174</v>
      </c>
      <c r="C673" s="273"/>
      <c r="D673" s="274">
        <v>142.79999999999998</v>
      </c>
      <c r="E673" s="45" t="s">
        <v>38</v>
      </c>
      <c r="F673" s="46">
        <v>15000</v>
      </c>
      <c r="G673" s="275">
        <f t="shared" si="216"/>
        <v>2141999.9999999995</v>
      </c>
      <c r="H673" s="535"/>
      <c r="I673" s="46">
        <v>19272.916666666668</v>
      </c>
      <c r="J673" s="560">
        <f t="shared" si="217"/>
        <v>2752172.5</v>
      </c>
      <c r="K673" s="560">
        <f t="shared" si="213"/>
        <v>77.829423846070682</v>
      </c>
      <c r="L673" s="528"/>
      <c r="M673" s="528"/>
    </row>
    <row r="674" spans="1:13" s="42" customFormat="1" ht="20.100000000000001" customHeight="1">
      <c r="A674" s="331">
        <f>A673+1</f>
        <v>4</v>
      </c>
      <c r="B674" s="272" t="s">
        <v>391</v>
      </c>
      <c r="C674" s="273"/>
      <c r="D674" s="274">
        <v>142.79999999999998</v>
      </c>
      <c r="E674" s="45" t="s">
        <v>38</v>
      </c>
      <c r="F674" s="46">
        <f>100000</f>
        <v>100000</v>
      </c>
      <c r="G674" s="275">
        <f t="shared" si="216"/>
        <v>14279999.999999998</v>
      </c>
      <c r="H674" s="535"/>
      <c r="I674" s="46">
        <v>53256</v>
      </c>
      <c r="J674" s="560">
        <f t="shared" si="217"/>
        <v>7604956.7999999989</v>
      </c>
      <c r="K674" s="560">
        <f t="shared" si="213"/>
        <v>187.77226979119723</v>
      </c>
      <c r="L674" s="528"/>
      <c r="M674" s="528"/>
    </row>
    <row r="675" spans="1:13" s="42" customFormat="1" ht="20.100000000000001" customHeight="1">
      <c r="A675" s="331">
        <f>A674+1</f>
        <v>5</v>
      </c>
      <c r="B675" s="336" t="s">
        <v>323</v>
      </c>
      <c r="C675" s="336"/>
      <c r="D675" s="274"/>
      <c r="E675" s="45"/>
      <c r="F675" s="46"/>
      <c r="G675" s="275"/>
      <c r="H675" s="535"/>
      <c r="I675" s="46"/>
      <c r="J675" s="560">
        <f t="shared" si="217"/>
        <v>0</v>
      </c>
      <c r="K675" s="560"/>
      <c r="L675" s="528"/>
      <c r="M675" s="528"/>
    </row>
    <row r="676" spans="1:13" s="42" customFormat="1" ht="20.100000000000001" customHeight="1">
      <c r="A676" s="331"/>
      <c r="B676" s="334" t="s">
        <v>5</v>
      </c>
      <c r="C676" s="335" t="s">
        <v>324</v>
      </c>
      <c r="D676" s="274">
        <v>0.43800000000000011</v>
      </c>
      <c r="E676" s="45" t="s">
        <v>38</v>
      </c>
      <c r="F676" s="46">
        <f>F654</f>
        <v>350000</v>
      </c>
      <c r="G676" s="275">
        <f t="shared" si="216"/>
        <v>153300.00000000003</v>
      </c>
      <c r="H676" s="535"/>
      <c r="I676" s="46">
        <v>257207.50000000003</v>
      </c>
      <c r="J676" s="560">
        <f t="shared" si="217"/>
        <v>112656.88500000004</v>
      </c>
      <c r="K676" s="560">
        <f t="shared" si="213"/>
        <v>136.07690288969022</v>
      </c>
      <c r="L676" s="528"/>
      <c r="M676" s="528"/>
    </row>
    <row r="677" spans="1:13" s="42" customFormat="1" ht="20.100000000000001" customHeight="1">
      <c r="A677" s="331"/>
      <c r="B677" s="334" t="s">
        <v>5</v>
      </c>
      <c r="C677" s="335" t="s">
        <v>360</v>
      </c>
      <c r="D677" s="274">
        <v>1.0400000000000003</v>
      </c>
      <c r="E677" s="45" t="s">
        <v>38</v>
      </c>
      <c r="F677" s="46">
        <f>F676</f>
        <v>350000</v>
      </c>
      <c r="G677" s="275">
        <f t="shared" si="216"/>
        <v>364000.00000000012</v>
      </c>
      <c r="H677" s="535"/>
      <c r="I677" s="46">
        <v>257207.50000000003</v>
      </c>
      <c r="J677" s="560">
        <f t="shared" si="217"/>
        <v>267495.8000000001</v>
      </c>
      <c r="K677" s="560">
        <f t="shared" si="213"/>
        <v>136.07690288969022</v>
      </c>
      <c r="L677" s="528"/>
      <c r="M677" s="528"/>
    </row>
    <row r="678" spans="1:13" s="42" customFormat="1" ht="20.100000000000001" customHeight="1">
      <c r="A678" s="331"/>
      <c r="B678" s="334" t="s">
        <v>5</v>
      </c>
      <c r="C678" s="335" t="s">
        <v>325</v>
      </c>
      <c r="D678" s="274">
        <v>5.95</v>
      </c>
      <c r="E678" s="45" t="s">
        <v>38</v>
      </c>
      <c r="F678" s="46">
        <f>F677</f>
        <v>350000</v>
      </c>
      <c r="G678" s="275">
        <f t="shared" si="216"/>
        <v>2082500</v>
      </c>
      <c r="H678" s="535"/>
      <c r="I678" s="46">
        <v>257207.50000000003</v>
      </c>
      <c r="J678" s="560">
        <f t="shared" si="217"/>
        <v>1530384.6250000002</v>
      </c>
      <c r="K678" s="560">
        <f t="shared" si="213"/>
        <v>136.07690288969022</v>
      </c>
      <c r="L678" s="528"/>
      <c r="M678" s="528"/>
    </row>
    <row r="679" spans="1:13" s="42" customFormat="1" ht="20.100000000000001" customHeight="1">
      <c r="A679" s="331">
        <f>A675+1</f>
        <v>6</v>
      </c>
      <c r="B679" s="336" t="s">
        <v>64</v>
      </c>
      <c r="C679" s="336"/>
      <c r="D679" s="274"/>
      <c r="E679" s="45"/>
      <c r="F679" s="46"/>
      <c r="G679" s="275"/>
      <c r="H679" s="535"/>
      <c r="I679" s="46"/>
      <c r="J679" s="560">
        <f t="shared" si="217"/>
        <v>0</v>
      </c>
      <c r="K679" s="560"/>
      <c r="L679" s="528"/>
      <c r="M679" s="528"/>
    </row>
    <row r="680" spans="1:13" s="42" customFormat="1" ht="20.100000000000001" customHeight="1">
      <c r="A680" s="331"/>
      <c r="B680" s="334" t="s">
        <v>5</v>
      </c>
      <c r="C680" s="335" t="s">
        <v>324</v>
      </c>
      <c r="D680" s="274">
        <v>0.43800000000000011</v>
      </c>
      <c r="E680" s="45" t="s">
        <v>38</v>
      </c>
      <c r="F680" s="46">
        <f>F615</f>
        <v>950000</v>
      </c>
      <c r="G680" s="275">
        <f t="shared" ref="G680:G682" si="218">D680*F680</f>
        <v>416100.00000000012</v>
      </c>
      <c r="H680" s="535"/>
      <c r="I680" s="46">
        <v>1110010.5092592593</v>
      </c>
      <c r="J680" s="560">
        <f t="shared" si="217"/>
        <v>486184.60305555572</v>
      </c>
      <c r="K680" s="560">
        <f t="shared" si="213"/>
        <v>85.584775285953029</v>
      </c>
      <c r="L680" s="528"/>
      <c r="M680" s="528"/>
    </row>
    <row r="681" spans="1:13" s="42" customFormat="1" ht="20.100000000000001" customHeight="1">
      <c r="A681" s="331"/>
      <c r="B681" s="334" t="s">
        <v>5</v>
      </c>
      <c r="C681" s="335" t="s">
        <v>360</v>
      </c>
      <c r="D681" s="274">
        <v>1.0400000000000003</v>
      </c>
      <c r="E681" s="45" t="s">
        <v>38</v>
      </c>
      <c r="F681" s="46">
        <f>F680</f>
        <v>950000</v>
      </c>
      <c r="G681" s="275">
        <f t="shared" si="218"/>
        <v>988000.00000000023</v>
      </c>
      <c r="H681" s="535"/>
      <c r="I681" s="46">
        <v>1110010.5092592593</v>
      </c>
      <c r="J681" s="560">
        <f t="shared" si="217"/>
        <v>1154410.9296296299</v>
      </c>
      <c r="K681" s="560">
        <f t="shared" si="213"/>
        <v>85.584775285953029</v>
      </c>
      <c r="L681" s="528"/>
      <c r="M681" s="528"/>
    </row>
    <row r="682" spans="1:13" s="42" customFormat="1" ht="20.100000000000001" customHeight="1">
      <c r="A682" s="331"/>
      <c r="B682" s="334" t="s">
        <v>5</v>
      </c>
      <c r="C682" s="335" t="s">
        <v>325</v>
      </c>
      <c r="D682" s="274">
        <v>5.95</v>
      </c>
      <c r="E682" s="45" t="s">
        <v>38</v>
      </c>
      <c r="F682" s="46">
        <f>F681</f>
        <v>950000</v>
      </c>
      <c r="G682" s="275">
        <f t="shared" si="218"/>
        <v>5652500</v>
      </c>
      <c r="H682" s="535"/>
      <c r="I682" s="46">
        <v>1110010.5092592593</v>
      </c>
      <c r="J682" s="560">
        <f t="shared" si="217"/>
        <v>6604562.5300925933</v>
      </c>
      <c r="K682" s="560">
        <f t="shared" si="213"/>
        <v>85.584775285953029</v>
      </c>
      <c r="L682" s="528"/>
      <c r="M682" s="528"/>
    </row>
    <row r="683" spans="1:13" s="42" customFormat="1" ht="20.100000000000001" customHeight="1">
      <c r="A683" s="331">
        <f>A679+1</f>
        <v>7</v>
      </c>
      <c r="B683" s="333" t="s">
        <v>362</v>
      </c>
      <c r="C683" s="336"/>
      <c r="D683" s="74">
        <v>11.9</v>
      </c>
      <c r="E683" s="45" t="s">
        <v>38</v>
      </c>
      <c r="F683" s="46">
        <f>F643</f>
        <v>250000</v>
      </c>
      <c r="G683" s="275">
        <f t="shared" si="216"/>
        <v>2975000</v>
      </c>
      <c r="H683" s="535"/>
      <c r="I683" s="46">
        <v>250318.75000000003</v>
      </c>
      <c r="J683" s="560">
        <f t="shared" si="217"/>
        <v>2978793.1250000005</v>
      </c>
      <c r="K683" s="560">
        <f t="shared" si="213"/>
        <v>99.872662355496729</v>
      </c>
      <c r="L683" s="528"/>
      <c r="M683" s="528"/>
    </row>
    <row r="684" spans="1:13" s="42" customFormat="1" ht="20.100000000000001" customHeight="1">
      <c r="A684" s="296">
        <f t="shared" ref="A684:A685" si="219">A683+1</f>
        <v>8</v>
      </c>
      <c r="B684" s="280" t="s">
        <v>361</v>
      </c>
      <c r="C684" s="281"/>
      <c r="D684" s="74">
        <v>9.52</v>
      </c>
      <c r="E684" s="289" t="s">
        <v>65</v>
      </c>
      <c r="F684" s="283">
        <f>F482</f>
        <v>3500000</v>
      </c>
      <c r="G684" s="292">
        <f t="shared" si="216"/>
        <v>33320000</v>
      </c>
      <c r="H684" s="535"/>
      <c r="I684" s="541">
        <v>2492774.8703703703</v>
      </c>
      <c r="J684" s="560">
        <f t="shared" si="217"/>
        <v>23731216.765925925</v>
      </c>
      <c r="K684" s="560">
        <f t="shared" si="213"/>
        <v>140.4057799844548</v>
      </c>
      <c r="L684" s="528"/>
      <c r="M684" s="528"/>
    </row>
    <row r="685" spans="1:13" s="42" customFormat="1" ht="20.100000000000001" customHeight="1">
      <c r="A685" s="296">
        <f t="shared" si="219"/>
        <v>9</v>
      </c>
      <c r="B685" s="280" t="s">
        <v>343</v>
      </c>
      <c r="C685" s="337"/>
      <c r="D685" s="338">
        <v>1.3248000000000002</v>
      </c>
      <c r="E685" s="289" t="s">
        <v>61</v>
      </c>
      <c r="F685" s="325">
        <f>F616</f>
        <v>4000000</v>
      </c>
      <c r="G685" s="149">
        <f t="shared" ref="G685:G699" si="220">D685*F685</f>
        <v>5299200.0000000009</v>
      </c>
      <c r="H685" s="535"/>
      <c r="I685" s="46">
        <v>4320553.805555556</v>
      </c>
      <c r="J685" s="560">
        <f t="shared" si="217"/>
        <v>5723869.6816000016</v>
      </c>
      <c r="K685" s="560">
        <f t="shared" si="213"/>
        <v>92.580724139035738</v>
      </c>
      <c r="L685" s="528"/>
      <c r="M685" s="528"/>
    </row>
    <row r="686" spans="1:13" s="42" customFormat="1" ht="20.100000000000001" customHeight="1">
      <c r="A686" s="331">
        <f t="shared" ref="A686:A699" si="221">1+A685</f>
        <v>10</v>
      </c>
      <c r="B686" s="280" t="s">
        <v>344</v>
      </c>
      <c r="C686" s="337"/>
      <c r="D686" s="338">
        <v>0.69000000000000006</v>
      </c>
      <c r="E686" s="289" t="s">
        <v>61</v>
      </c>
      <c r="F686" s="325">
        <f>F685</f>
        <v>4000000</v>
      </c>
      <c r="G686" s="149">
        <f t="shared" si="220"/>
        <v>2760000</v>
      </c>
      <c r="H686" s="535"/>
      <c r="I686" s="46">
        <v>4320553.805555556</v>
      </c>
      <c r="J686" s="560">
        <f t="shared" si="217"/>
        <v>2981182.1258333339</v>
      </c>
      <c r="K686" s="560">
        <f t="shared" si="213"/>
        <v>92.580724139035738</v>
      </c>
      <c r="L686" s="528"/>
      <c r="M686" s="528"/>
    </row>
    <row r="687" spans="1:13" s="42" customFormat="1" ht="20.100000000000001" customHeight="1">
      <c r="A687" s="331">
        <f t="shared" si="221"/>
        <v>11</v>
      </c>
      <c r="B687" s="280" t="s">
        <v>345</v>
      </c>
      <c r="C687" s="337"/>
      <c r="D687" s="338">
        <v>3.9324000000000003</v>
      </c>
      <c r="E687" s="289" t="s">
        <v>61</v>
      </c>
      <c r="F687" s="46">
        <f>F686</f>
        <v>4000000</v>
      </c>
      <c r="G687" s="149">
        <f t="shared" si="220"/>
        <v>15729600.000000002</v>
      </c>
      <c r="H687" s="535"/>
      <c r="I687" s="46">
        <v>4705274.8703703703</v>
      </c>
      <c r="J687" s="560">
        <f t="shared" si="217"/>
        <v>18503022.900244445</v>
      </c>
      <c r="K687" s="560">
        <f t="shared" si="213"/>
        <v>85.010974070578456</v>
      </c>
      <c r="L687" s="528"/>
      <c r="M687" s="528"/>
    </row>
    <row r="688" spans="1:13" s="42" customFormat="1" ht="20.100000000000001" customHeight="1">
      <c r="A688" s="331">
        <f t="shared" si="221"/>
        <v>12</v>
      </c>
      <c r="B688" s="280" t="s">
        <v>346</v>
      </c>
      <c r="C688" s="337"/>
      <c r="D688" s="338">
        <v>2.1257999999999999</v>
      </c>
      <c r="E688" s="289" t="s">
        <v>61</v>
      </c>
      <c r="F688" s="46">
        <f>F687</f>
        <v>4000000</v>
      </c>
      <c r="G688" s="149">
        <f t="shared" si="220"/>
        <v>8503200</v>
      </c>
      <c r="H688" s="535"/>
      <c r="I688" s="46">
        <v>4505274.8703703703</v>
      </c>
      <c r="J688" s="560">
        <f t="shared" si="217"/>
        <v>9577313.3194333334</v>
      </c>
      <c r="K688" s="560">
        <f t="shared" si="213"/>
        <v>88.784815912267916</v>
      </c>
      <c r="L688" s="528"/>
      <c r="M688" s="528"/>
    </row>
    <row r="689" spans="1:13" s="42" customFormat="1" ht="20.100000000000001" customHeight="1">
      <c r="A689" s="331">
        <f t="shared" si="221"/>
        <v>13</v>
      </c>
      <c r="B689" s="280" t="s">
        <v>347</v>
      </c>
      <c r="C689" s="337"/>
      <c r="D689" s="338">
        <v>1.0394999999999999</v>
      </c>
      <c r="E689" s="289" t="s">
        <v>61</v>
      </c>
      <c r="F689" s="46">
        <f>F618</f>
        <v>5340000</v>
      </c>
      <c r="G689" s="149">
        <f t="shared" si="220"/>
        <v>5550929.9999999991</v>
      </c>
      <c r="H689" s="535"/>
      <c r="I689" s="46">
        <v>7085274.8703703703</v>
      </c>
      <c r="J689" s="560">
        <f t="shared" si="217"/>
        <v>7365143.2277499987</v>
      </c>
      <c r="K689" s="560">
        <f t="shared" si="213"/>
        <v>75.367577090496994</v>
      </c>
      <c r="L689" s="528"/>
      <c r="M689" s="528"/>
    </row>
    <row r="690" spans="1:13" s="42" customFormat="1" ht="20.100000000000001" customHeight="1">
      <c r="A690" s="331">
        <f t="shared" si="221"/>
        <v>14</v>
      </c>
      <c r="B690" s="280" t="s">
        <v>348</v>
      </c>
      <c r="C690" s="337"/>
      <c r="D690" s="338">
        <v>3.1184999999999996</v>
      </c>
      <c r="E690" s="289" t="s">
        <v>61</v>
      </c>
      <c r="F690" s="46">
        <f>F689</f>
        <v>5340000</v>
      </c>
      <c r="G690" s="149">
        <f t="shared" si="220"/>
        <v>16652789.999999998</v>
      </c>
      <c r="H690" s="535"/>
      <c r="I690" s="46">
        <v>6685274.8703703703</v>
      </c>
      <c r="J690" s="560">
        <f t="shared" si="217"/>
        <v>20848029.683249999</v>
      </c>
      <c r="K690" s="560">
        <f t="shared" si="213"/>
        <v>79.877044752000742</v>
      </c>
      <c r="L690" s="528"/>
      <c r="M690" s="528"/>
    </row>
    <row r="691" spans="1:13" s="42" customFormat="1" ht="20.100000000000001" customHeight="1">
      <c r="A691" s="331">
        <f t="shared" si="221"/>
        <v>15</v>
      </c>
      <c r="B691" s="280" t="s">
        <v>349</v>
      </c>
      <c r="C691" s="337"/>
      <c r="D691" s="338">
        <v>1.3775999999999997</v>
      </c>
      <c r="E691" s="289" t="s">
        <v>61</v>
      </c>
      <c r="F691" s="325">
        <v>6000000</v>
      </c>
      <c r="G691" s="149">
        <f t="shared" si="220"/>
        <v>8265599.9999999981</v>
      </c>
      <c r="H691" s="535"/>
      <c r="I691" s="46">
        <v>6705274.8703703703</v>
      </c>
      <c r="J691" s="560">
        <f t="shared" si="217"/>
        <v>9237186.661422221</v>
      </c>
      <c r="K691" s="560">
        <f t="shared" si="213"/>
        <v>89.481790321723025</v>
      </c>
      <c r="L691" s="528"/>
      <c r="M691" s="528"/>
    </row>
    <row r="692" spans="1:13" s="42" customFormat="1" ht="20.100000000000001" customHeight="1">
      <c r="A692" s="331">
        <f t="shared" si="221"/>
        <v>16</v>
      </c>
      <c r="B692" s="280" t="s">
        <v>350</v>
      </c>
      <c r="C692" s="337"/>
      <c r="D692" s="338">
        <v>0.88800000000000023</v>
      </c>
      <c r="E692" s="289" t="s">
        <v>61</v>
      </c>
      <c r="F692" s="325">
        <f>F691</f>
        <v>6000000</v>
      </c>
      <c r="G692" s="149">
        <f t="shared" si="220"/>
        <v>5328000.0000000019</v>
      </c>
      <c r="H692" s="535"/>
      <c r="I692" s="46">
        <v>5905274.8703703703</v>
      </c>
      <c r="J692" s="560">
        <f t="shared" si="217"/>
        <v>5243884.0848888904</v>
      </c>
      <c r="K692" s="560">
        <f t="shared" si="213"/>
        <v>101.60407655374199</v>
      </c>
      <c r="L692" s="528"/>
      <c r="M692" s="528"/>
    </row>
    <row r="693" spans="1:13" s="42" customFormat="1" ht="20.100000000000001" customHeight="1">
      <c r="A693" s="331">
        <f t="shared" si="221"/>
        <v>17</v>
      </c>
      <c r="B693" s="280" t="s">
        <v>351</v>
      </c>
      <c r="C693" s="337"/>
      <c r="D693" s="338">
        <v>0.63360000000000016</v>
      </c>
      <c r="E693" s="289" t="s">
        <v>61</v>
      </c>
      <c r="F693" s="325">
        <f t="shared" ref="F693:F698" si="222">F692</f>
        <v>6000000</v>
      </c>
      <c r="G693" s="149">
        <f t="shared" si="220"/>
        <v>3801600.0000000009</v>
      </c>
      <c r="H693" s="535"/>
      <c r="I693" s="46">
        <v>6105274.8703703703</v>
      </c>
      <c r="J693" s="560">
        <f t="shared" si="217"/>
        <v>3868302.1578666675</v>
      </c>
      <c r="K693" s="560">
        <f t="shared" si="213"/>
        <v>98.275673534679299</v>
      </c>
      <c r="L693" s="528"/>
      <c r="M693" s="528"/>
    </row>
    <row r="694" spans="1:13" s="42" customFormat="1" ht="20.100000000000001" customHeight="1">
      <c r="A694" s="331">
        <f t="shared" si="221"/>
        <v>18</v>
      </c>
      <c r="B694" s="280" t="s">
        <v>352</v>
      </c>
      <c r="C694" s="337"/>
      <c r="D694" s="338">
        <v>1.4912000000000003</v>
      </c>
      <c r="E694" s="289" t="s">
        <v>61</v>
      </c>
      <c r="F694" s="325">
        <f t="shared" si="222"/>
        <v>6000000</v>
      </c>
      <c r="G694" s="149">
        <f t="shared" si="220"/>
        <v>8947200.0000000019</v>
      </c>
      <c r="H694" s="535"/>
      <c r="I694" s="46">
        <v>6305274.8703703703</v>
      </c>
      <c r="J694" s="560">
        <f t="shared" si="217"/>
        <v>9402425.8866962977</v>
      </c>
      <c r="K694" s="560">
        <f t="shared" si="213"/>
        <v>95.158420899223401</v>
      </c>
      <c r="L694" s="528"/>
      <c r="M694" s="528"/>
    </row>
    <row r="695" spans="1:13" s="42" customFormat="1" ht="20.100000000000001" customHeight="1">
      <c r="A695" s="331">
        <f t="shared" si="221"/>
        <v>19</v>
      </c>
      <c r="B695" s="280" t="s">
        <v>353</v>
      </c>
      <c r="C695" s="337"/>
      <c r="D695" s="338">
        <v>2.9952000000000001</v>
      </c>
      <c r="E695" s="289" t="s">
        <v>61</v>
      </c>
      <c r="F695" s="325">
        <f t="shared" si="222"/>
        <v>6000000</v>
      </c>
      <c r="G695" s="149">
        <f t="shared" si="220"/>
        <v>17971200</v>
      </c>
      <c r="H695" s="535"/>
      <c r="I695" s="46">
        <v>5665274.8703703703</v>
      </c>
      <c r="J695" s="560">
        <f t="shared" si="217"/>
        <v>16968631.291733332</v>
      </c>
      <c r="K695" s="560">
        <f t="shared" si="213"/>
        <v>105.90836521243226</v>
      </c>
      <c r="L695" s="528"/>
      <c r="M695" s="528"/>
    </row>
    <row r="696" spans="1:13" s="42" customFormat="1" ht="20.100000000000001" customHeight="1">
      <c r="A696" s="331">
        <f t="shared" si="221"/>
        <v>20</v>
      </c>
      <c r="B696" s="280" t="s">
        <v>355</v>
      </c>
      <c r="C696" s="337"/>
      <c r="D696" s="338">
        <v>0.23399999999999999</v>
      </c>
      <c r="E696" s="289" t="s">
        <v>61</v>
      </c>
      <c r="F696" s="325">
        <f t="shared" si="222"/>
        <v>6000000</v>
      </c>
      <c r="G696" s="149">
        <f t="shared" si="220"/>
        <v>1404000</v>
      </c>
      <c r="H696" s="535"/>
      <c r="I696" s="551">
        <v>5665274.8703703703</v>
      </c>
      <c r="J696" s="560">
        <f t="shared" si="217"/>
        <v>1325674.3196666667</v>
      </c>
      <c r="K696" s="560">
        <f t="shared" si="213"/>
        <v>105.90836521243226</v>
      </c>
      <c r="L696" s="528"/>
      <c r="M696" s="528"/>
    </row>
    <row r="697" spans="1:13" s="42" customFormat="1" ht="20.100000000000001" customHeight="1">
      <c r="A697" s="331">
        <f t="shared" si="221"/>
        <v>21</v>
      </c>
      <c r="B697" s="280" t="s">
        <v>354</v>
      </c>
      <c r="C697" s="337"/>
      <c r="D697" s="338">
        <v>10.452048000000001</v>
      </c>
      <c r="E697" s="289" t="s">
        <v>61</v>
      </c>
      <c r="F697" s="325">
        <f t="shared" si="222"/>
        <v>6000000</v>
      </c>
      <c r="G697" s="149">
        <f t="shared" si="220"/>
        <v>62712288.000000007</v>
      </c>
      <c r="H697" s="535"/>
      <c r="I697" s="551">
        <v>4185274.8703703703</v>
      </c>
      <c r="J697" s="560">
        <f t="shared" si="217"/>
        <v>43744693.838304892</v>
      </c>
      <c r="K697" s="560">
        <f t="shared" si="213"/>
        <v>143.35975977293549</v>
      </c>
      <c r="L697" s="528"/>
      <c r="M697" s="528"/>
    </row>
    <row r="698" spans="1:13" s="42" customFormat="1" ht="20.100000000000001" customHeight="1">
      <c r="A698" s="331">
        <f t="shared" si="221"/>
        <v>22</v>
      </c>
      <c r="B698" s="280" t="s">
        <v>356</v>
      </c>
      <c r="C698" s="337"/>
      <c r="D698" s="338">
        <v>4.1330999999999998</v>
      </c>
      <c r="E698" s="289" t="s">
        <v>61</v>
      </c>
      <c r="F698" s="325">
        <f t="shared" si="222"/>
        <v>6000000</v>
      </c>
      <c r="G698" s="149">
        <f t="shared" si="220"/>
        <v>24798600</v>
      </c>
      <c r="H698" s="535"/>
      <c r="I698" s="551">
        <v>6305274.8703703703</v>
      </c>
      <c r="J698" s="560">
        <f t="shared" si="217"/>
        <v>26060331.566727776</v>
      </c>
      <c r="K698" s="560">
        <f t="shared" si="213"/>
        <v>95.158420899223401</v>
      </c>
      <c r="L698" s="528"/>
      <c r="M698" s="528"/>
    </row>
    <row r="699" spans="1:13" s="42" customFormat="1" ht="20.100000000000001" customHeight="1">
      <c r="A699" s="331">
        <f t="shared" si="221"/>
        <v>23</v>
      </c>
      <c r="B699" s="280" t="s">
        <v>357</v>
      </c>
      <c r="C699" s="337"/>
      <c r="D699" s="338">
        <v>9.1634400000000014</v>
      </c>
      <c r="E699" s="289" t="s">
        <v>61</v>
      </c>
      <c r="F699" s="339">
        <f>F698</f>
        <v>6000000</v>
      </c>
      <c r="G699" s="149">
        <f t="shared" si="220"/>
        <v>54980640.000000007</v>
      </c>
      <c r="H699" s="535"/>
      <c r="I699" s="551">
        <v>6805274.8703703703</v>
      </c>
      <c r="J699" s="560">
        <f t="shared" si="217"/>
        <v>62359727.958146676</v>
      </c>
      <c r="K699" s="560">
        <f t="shared" si="213"/>
        <v>88.166901621028217</v>
      </c>
      <c r="L699" s="528"/>
      <c r="M699" s="528"/>
    </row>
    <row r="700" spans="1:13" s="42" customFormat="1" ht="20.100000000000001" customHeight="1">
      <c r="A700" s="331">
        <f t="shared" ref="A700:A701" si="223">1+A699</f>
        <v>24</v>
      </c>
      <c r="B700" s="280" t="s">
        <v>384</v>
      </c>
      <c r="C700" s="337"/>
      <c r="D700" s="338">
        <v>0.19940000000000002</v>
      </c>
      <c r="E700" s="289" t="s">
        <v>61</v>
      </c>
      <c r="F700" s="339">
        <f>F698</f>
        <v>6000000</v>
      </c>
      <c r="G700" s="149">
        <f t="shared" ref="G700:G763" si="224">D700*F700</f>
        <v>1196400.0000000002</v>
      </c>
      <c r="H700" s="535"/>
      <c r="I700" s="551">
        <v>4705274.8703703703</v>
      </c>
      <c r="J700" s="560">
        <f t="shared" si="217"/>
        <v>938231.80915185192</v>
      </c>
      <c r="K700" s="560">
        <f t="shared" si="213"/>
        <v>127.51646110586769</v>
      </c>
      <c r="L700" s="528"/>
      <c r="M700" s="528"/>
    </row>
    <row r="701" spans="1:13" s="42" customFormat="1" ht="20.100000000000001" customHeight="1">
      <c r="A701" s="331">
        <f t="shared" si="223"/>
        <v>25</v>
      </c>
      <c r="B701" s="340" t="s">
        <v>358</v>
      </c>
      <c r="C701" s="341"/>
      <c r="D701" s="338">
        <v>60.249200000000002</v>
      </c>
      <c r="E701" s="289" t="s">
        <v>58</v>
      </c>
      <c r="F701" s="223">
        <v>80000</v>
      </c>
      <c r="G701" s="149">
        <f t="shared" si="224"/>
        <v>4819936</v>
      </c>
      <c r="H701" s="535"/>
      <c r="I701" s="551">
        <v>138865.65000000002</v>
      </c>
      <c r="J701" s="560">
        <f t="shared" si="217"/>
        <v>8366544.319980002</v>
      </c>
      <c r="K701" s="576">
        <f t="shared" si="213"/>
        <v>57.609639244838441</v>
      </c>
      <c r="L701" s="528"/>
      <c r="M701" s="528"/>
    </row>
    <row r="702" spans="1:13" s="42" customFormat="1" ht="20.100000000000001" customHeight="1">
      <c r="A702" s="331">
        <f>A701+1</f>
        <v>26</v>
      </c>
      <c r="B702" s="340" t="s">
        <v>392</v>
      </c>
      <c r="C702" s="342"/>
      <c r="D702" s="343">
        <v>15.84</v>
      </c>
      <c r="E702" s="289" t="s">
        <v>58</v>
      </c>
      <c r="F702" s="339">
        <f>(12000*10)+50000</f>
        <v>170000</v>
      </c>
      <c r="G702" s="149">
        <f t="shared" si="224"/>
        <v>2692800</v>
      </c>
      <c r="H702" s="535"/>
      <c r="I702" s="551">
        <v>318052.90000000002</v>
      </c>
      <c r="J702" s="560">
        <f t="shared" si="217"/>
        <v>5037957.9360000007</v>
      </c>
      <c r="K702" s="576">
        <f t="shared" si="213"/>
        <v>53.450227933780823</v>
      </c>
      <c r="L702" s="528"/>
      <c r="M702" s="528"/>
    </row>
    <row r="703" spans="1:13" s="42" customFormat="1" ht="20.100000000000001" customHeight="1">
      <c r="A703" s="331">
        <f>A702+1</f>
        <v>27</v>
      </c>
      <c r="B703" s="344" t="s">
        <v>363</v>
      </c>
      <c r="C703" s="345"/>
      <c r="D703" s="338">
        <v>130.1104</v>
      </c>
      <c r="E703" s="289" t="s">
        <v>58</v>
      </c>
      <c r="F703" s="223">
        <f>F656</f>
        <v>60000</v>
      </c>
      <c r="G703" s="149">
        <f t="shared" si="224"/>
        <v>7806624</v>
      </c>
      <c r="H703" s="535"/>
      <c r="I703" s="551">
        <v>78200.496000000014</v>
      </c>
      <c r="J703" s="560">
        <f t="shared" si="217"/>
        <v>10174697.814758401</v>
      </c>
      <c r="K703" s="560">
        <f t="shared" si="213"/>
        <v>76.725856061066395</v>
      </c>
      <c r="L703" s="528"/>
      <c r="M703" s="528"/>
    </row>
    <row r="704" spans="1:13" s="42" customFormat="1" ht="20.100000000000001" customHeight="1">
      <c r="A704" s="331">
        <f t="shared" ref="A704:A720" si="225">A703+1</f>
        <v>28</v>
      </c>
      <c r="B704" s="344" t="s">
        <v>364</v>
      </c>
      <c r="C704" s="345"/>
      <c r="D704" s="338">
        <v>15.2256</v>
      </c>
      <c r="E704" s="289" t="s">
        <v>58</v>
      </c>
      <c r="F704" s="223">
        <f>F703*2.5</f>
        <v>150000</v>
      </c>
      <c r="G704" s="149">
        <f t="shared" si="224"/>
        <v>2283840</v>
      </c>
      <c r="H704" s="535"/>
      <c r="I704" s="551">
        <v>225905.57000000004</v>
      </c>
      <c r="J704" s="560">
        <f t="shared" si="217"/>
        <v>3439547.8465920007</v>
      </c>
      <c r="K704" s="576">
        <f t="shared" si="213"/>
        <v>66.399425211162338</v>
      </c>
      <c r="L704" s="528"/>
      <c r="M704" s="528"/>
    </row>
    <row r="705" spans="1:13" s="42" customFormat="1" ht="20.100000000000001" customHeight="1">
      <c r="A705" s="331">
        <f t="shared" si="225"/>
        <v>29</v>
      </c>
      <c r="B705" s="344" t="s">
        <v>94</v>
      </c>
      <c r="C705" s="345"/>
      <c r="D705" s="338">
        <v>46.470399999999998</v>
      </c>
      <c r="E705" s="289" t="s">
        <v>58</v>
      </c>
      <c r="F705" s="223">
        <f>F640</f>
        <v>40000</v>
      </c>
      <c r="G705" s="149">
        <f t="shared" si="224"/>
        <v>1858816</v>
      </c>
      <c r="H705" s="535"/>
      <c r="I705" s="551">
        <v>45665.675000000003</v>
      </c>
      <c r="J705" s="560">
        <f t="shared" si="217"/>
        <v>2122102.18352</v>
      </c>
      <c r="K705" s="560">
        <f t="shared" si="213"/>
        <v>87.5931429897839</v>
      </c>
      <c r="L705" s="528"/>
      <c r="M705" s="528"/>
    </row>
    <row r="706" spans="1:13" s="42" customFormat="1" ht="20.100000000000001" customHeight="1">
      <c r="A706" s="331">
        <f>A705+1</f>
        <v>30</v>
      </c>
      <c r="B706" s="344" t="s">
        <v>326</v>
      </c>
      <c r="C706" s="345"/>
      <c r="D706" s="338">
        <v>416.31999999999994</v>
      </c>
      <c r="E706" s="289" t="s">
        <v>80</v>
      </c>
      <c r="F706" s="223">
        <v>15000</v>
      </c>
      <c r="G706" s="149">
        <f t="shared" si="224"/>
        <v>6244799.9999999991</v>
      </c>
      <c r="H706" s="535"/>
      <c r="I706" s="551">
        <v>9700</v>
      </c>
      <c r="J706" s="560">
        <f t="shared" si="217"/>
        <v>4038303.9999999995</v>
      </c>
      <c r="K706" s="560">
        <f t="shared" si="213"/>
        <v>154.63917525773198</v>
      </c>
      <c r="L706" s="528"/>
      <c r="M706" s="528"/>
    </row>
    <row r="707" spans="1:13" s="42" customFormat="1" ht="20.100000000000001" customHeight="1">
      <c r="A707" s="331">
        <f>A706+1</f>
        <v>31</v>
      </c>
      <c r="B707" s="582" t="s">
        <v>365</v>
      </c>
      <c r="C707" s="583"/>
      <c r="D707" s="338">
        <v>0.34950000000000009</v>
      </c>
      <c r="E707" s="289" t="s">
        <v>61</v>
      </c>
      <c r="F707" s="223">
        <f>F689</f>
        <v>5340000</v>
      </c>
      <c r="G707" s="149">
        <f t="shared" si="224"/>
        <v>1866330.0000000005</v>
      </c>
      <c r="H707" s="535"/>
      <c r="I707" s="551">
        <v>7350105.0375000006</v>
      </c>
      <c r="J707" s="560">
        <f t="shared" si="217"/>
        <v>2568861.7106062509</v>
      </c>
      <c r="K707" s="560">
        <f t="shared" si="213"/>
        <v>72.652022967773817</v>
      </c>
      <c r="L707" s="528"/>
      <c r="M707" s="528"/>
    </row>
    <row r="708" spans="1:13" s="42" customFormat="1" ht="20.100000000000001" customHeight="1">
      <c r="A708" s="331">
        <f t="shared" si="225"/>
        <v>32</v>
      </c>
      <c r="B708" s="582" t="s">
        <v>366</v>
      </c>
      <c r="C708" s="583"/>
      <c r="D708" s="338">
        <v>6.5200000000000008E-2</v>
      </c>
      <c r="E708" s="289" t="s">
        <v>61</v>
      </c>
      <c r="F708" s="223">
        <f>F707</f>
        <v>5340000</v>
      </c>
      <c r="G708" s="149">
        <f t="shared" si="224"/>
        <v>348168.00000000006</v>
      </c>
      <c r="H708" s="535"/>
      <c r="I708" s="551">
        <v>7350105.0375000006</v>
      </c>
      <c r="J708" s="560">
        <f t="shared" si="217"/>
        <v>479226.84844500007</v>
      </c>
      <c r="K708" s="560">
        <f t="shared" si="213"/>
        <v>72.652022967773817</v>
      </c>
      <c r="L708" s="528"/>
      <c r="M708" s="528"/>
    </row>
    <row r="709" spans="1:13" s="42" customFormat="1" ht="20.100000000000001" customHeight="1">
      <c r="A709" s="331">
        <f t="shared" si="225"/>
        <v>33</v>
      </c>
      <c r="B709" s="582" t="s">
        <v>367</v>
      </c>
      <c r="C709" s="583"/>
      <c r="D709" s="338">
        <v>0.55409999999999993</v>
      </c>
      <c r="E709" s="289" t="s">
        <v>61</v>
      </c>
      <c r="F709" s="223">
        <f>F708</f>
        <v>5340000</v>
      </c>
      <c r="G709" s="149">
        <f t="shared" si="224"/>
        <v>2958893.9999999995</v>
      </c>
      <c r="H709" s="535"/>
      <c r="I709" s="551">
        <v>9105742.9777777791</v>
      </c>
      <c r="J709" s="560">
        <f t="shared" si="217"/>
        <v>5045492.1839866666</v>
      </c>
      <c r="K709" s="576">
        <f t="shared" si="213"/>
        <v>58.644308465899684</v>
      </c>
      <c r="L709" s="528"/>
      <c r="M709" s="528"/>
    </row>
    <row r="710" spans="1:13" s="42" customFormat="1" ht="20.100000000000001" customHeight="1">
      <c r="A710" s="331">
        <f t="shared" si="225"/>
        <v>34</v>
      </c>
      <c r="B710" s="582" t="s">
        <v>368</v>
      </c>
      <c r="C710" s="583"/>
      <c r="D710" s="338">
        <v>82.978400000000008</v>
      </c>
      <c r="E710" s="289" t="s">
        <v>58</v>
      </c>
      <c r="F710" s="223">
        <v>50000</v>
      </c>
      <c r="G710" s="149">
        <f t="shared" si="224"/>
        <v>4148920.0000000005</v>
      </c>
      <c r="H710" s="535"/>
      <c r="I710" s="551">
        <v>47897.575000000004</v>
      </c>
      <c r="J710" s="560">
        <f t="shared" si="217"/>
        <v>3974464.1373800007</v>
      </c>
      <c r="K710" s="560">
        <f t="shared" si="213"/>
        <v>104.38941846220816</v>
      </c>
      <c r="L710" s="528"/>
      <c r="M710" s="528"/>
    </row>
    <row r="711" spans="1:13" s="42" customFormat="1" ht="20.100000000000001" customHeight="1">
      <c r="A711" s="331">
        <f t="shared" si="225"/>
        <v>35</v>
      </c>
      <c r="B711" s="582" t="s">
        <v>327</v>
      </c>
      <c r="C711" s="583"/>
      <c r="D711" s="338">
        <v>56.22</v>
      </c>
      <c r="E711" s="289" t="s">
        <v>58</v>
      </c>
      <c r="F711" s="223">
        <v>60000</v>
      </c>
      <c r="G711" s="149">
        <f t="shared" si="224"/>
        <v>3373200</v>
      </c>
      <c r="H711" s="535"/>
      <c r="I711" s="551">
        <v>72375.875</v>
      </c>
      <c r="J711" s="560">
        <f t="shared" si="217"/>
        <v>4068971.6924999999</v>
      </c>
      <c r="K711" s="560">
        <f t="shared" si="213"/>
        <v>82.900552152219234</v>
      </c>
      <c r="L711" s="528"/>
      <c r="M711" s="528"/>
    </row>
    <row r="712" spans="1:13" s="42" customFormat="1" ht="20.100000000000001" customHeight="1">
      <c r="A712" s="331">
        <f t="shared" si="225"/>
        <v>36</v>
      </c>
      <c r="B712" s="582" t="s">
        <v>369</v>
      </c>
      <c r="C712" s="583"/>
      <c r="D712" s="338">
        <v>87.100400000000008</v>
      </c>
      <c r="E712" s="289" t="s">
        <v>58</v>
      </c>
      <c r="F712" s="339">
        <f>F711</f>
        <v>60000</v>
      </c>
      <c r="G712" s="149">
        <f t="shared" si="224"/>
        <v>5226024</v>
      </c>
      <c r="H712" s="535"/>
      <c r="I712" s="551">
        <v>72375.875</v>
      </c>
      <c r="J712" s="560">
        <f t="shared" si="217"/>
        <v>6303967.6628500009</v>
      </c>
      <c r="K712" s="560">
        <f t="shared" si="213"/>
        <v>82.900552152219234</v>
      </c>
      <c r="L712" s="528"/>
      <c r="M712" s="528"/>
    </row>
    <row r="713" spans="1:13" s="42" customFormat="1" ht="20.100000000000001" customHeight="1">
      <c r="A713" s="331">
        <f>A711+1</f>
        <v>36</v>
      </c>
      <c r="B713" s="582" t="s">
        <v>328</v>
      </c>
      <c r="C713" s="583"/>
      <c r="D713" s="338">
        <v>74.19</v>
      </c>
      <c r="E713" s="289" t="s">
        <v>58</v>
      </c>
      <c r="F713" s="223">
        <v>250000</v>
      </c>
      <c r="G713" s="149">
        <f t="shared" si="224"/>
        <v>18547500</v>
      </c>
      <c r="H713" s="535"/>
      <c r="I713" s="551">
        <v>266984.35499999998</v>
      </c>
      <c r="J713" s="560">
        <f t="shared" si="217"/>
        <v>19807569.297449999</v>
      </c>
      <c r="K713" s="560">
        <f t="shared" si="213"/>
        <v>93.638445593562963</v>
      </c>
      <c r="L713" s="528"/>
      <c r="M713" s="528"/>
    </row>
    <row r="714" spans="1:13" s="42" customFormat="1" ht="20.100000000000001" customHeight="1">
      <c r="A714" s="331">
        <f t="shared" si="225"/>
        <v>37</v>
      </c>
      <c r="B714" s="582" t="s">
        <v>329</v>
      </c>
      <c r="C714" s="583"/>
      <c r="D714" s="338">
        <v>14.76</v>
      </c>
      <c r="E714" s="289" t="s">
        <v>58</v>
      </c>
      <c r="F714" s="223">
        <f>F713</f>
        <v>250000</v>
      </c>
      <c r="G714" s="149">
        <f t="shared" si="224"/>
        <v>3690000</v>
      </c>
      <c r="H714" s="535"/>
      <c r="I714" s="551">
        <v>284309.35499999998</v>
      </c>
      <c r="J714" s="560">
        <f t="shared" si="217"/>
        <v>4196406.0797999995</v>
      </c>
      <c r="K714" s="560">
        <f t="shared" si="213"/>
        <v>87.932386185463372</v>
      </c>
      <c r="L714" s="528"/>
      <c r="M714" s="528"/>
    </row>
    <row r="715" spans="1:13" s="42" customFormat="1" ht="20.100000000000001" customHeight="1">
      <c r="A715" s="346">
        <f t="shared" si="225"/>
        <v>38</v>
      </c>
      <c r="B715" s="347" t="s">
        <v>371</v>
      </c>
      <c r="C715" s="348"/>
      <c r="D715" s="338">
        <v>23.090000000000003</v>
      </c>
      <c r="E715" s="289" t="s">
        <v>58</v>
      </c>
      <c r="F715" s="223">
        <v>200000</v>
      </c>
      <c r="G715" s="149">
        <f t="shared" si="224"/>
        <v>4618000.0000000009</v>
      </c>
      <c r="H715" s="535"/>
      <c r="I715" s="551">
        <v>268169.66000000003</v>
      </c>
      <c r="J715" s="560">
        <f t="shared" si="217"/>
        <v>6192037.4494000012</v>
      </c>
      <c r="K715" s="560">
        <f t="shared" si="213"/>
        <v>74.579652299219816</v>
      </c>
      <c r="L715" s="528"/>
      <c r="M715" s="528"/>
    </row>
    <row r="716" spans="1:13" s="42" customFormat="1" ht="20.100000000000001" customHeight="1">
      <c r="A716" s="346">
        <f t="shared" si="225"/>
        <v>39</v>
      </c>
      <c r="B716" s="347" t="s">
        <v>370</v>
      </c>
      <c r="C716" s="348"/>
      <c r="D716" s="349">
        <v>53.175800000000002</v>
      </c>
      <c r="E716" s="289" t="s">
        <v>58</v>
      </c>
      <c r="F716" s="223">
        <f>F715</f>
        <v>200000</v>
      </c>
      <c r="G716" s="149">
        <f t="shared" si="224"/>
        <v>10635160</v>
      </c>
      <c r="H716" s="535"/>
      <c r="I716" s="551">
        <v>268169.66000000003</v>
      </c>
      <c r="J716" s="560">
        <f t="shared" si="217"/>
        <v>14260136.206228003</v>
      </c>
      <c r="K716" s="560">
        <f t="shared" si="213"/>
        <v>74.579652299219816</v>
      </c>
      <c r="L716" s="528"/>
      <c r="M716" s="528"/>
    </row>
    <row r="717" spans="1:13" s="42" customFormat="1" ht="20.100000000000001" customHeight="1">
      <c r="A717" s="346">
        <f t="shared" si="225"/>
        <v>40</v>
      </c>
      <c r="B717" s="347" t="s">
        <v>330</v>
      </c>
      <c r="C717" s="348"/>
      <c r="D717" s="350">
        <v>40.799999999999997</v>
      </c>
      <c r="E717" s="289" t="s">
        <v>80</v>
      </c>
      <c r="F717" s="223">
        <v>75000</v>
      </c>
      <c r="G717" s="149">
        <f t="shared" si="224"/>
        <v>3060000</v>
      </c>
      <c r="H717" s="535"/>
      <c r="I717" s="551">
        <v>50961.025789473693</v>
      </c>
      <c r="J717" s="560">
        <f t="shared" si="217"/>
        <v>2079209.8522105266</v>
      </c>
      <c r="K717" s="560">
        <f t="shared" si="213"/>
        <v>147.17129186102784</v>
      </c>
      <c r="L717" s="528"/>
      <c r="M717" s="528"/>
    </row>
    <row r="718" spans="1:13" s="42" customFormat="1" ht="20.100000000000001" customHeight="1">
      <c r="A718" s="331">
        <f t="shared" si="225"/>
        <v>41</v>
      </c>
      <c r="B718" s="286" t="s">
        <v>372</v>
      </c>
      <c r="C718" s="281"/>
      <c r="D718" s="282">
        <v>56.85</v>
      </c>
      <c r="E718" s="81" t="s">
        <v>40</v>
      </c>
      <c r="F718" s="283">
        <v>60000</v>
      </c>
      <c r="G718" s="149">
        <f t="shared" si="224"/>
        <v>3411000</v>
      </c>
      <c r="H718" s="535"/>
      <c r="I718" s="541">
        <v>62240.750000000007</v>
      </c>
      <c r="J718" s="560">
        <f t="shared" si="217"/>
        <v>3538386.6375000007</v>
      </c>
      <c r="K718" s="560">
        <f t="shared" ref="K718:K772" si="226">F718/I718*100</f>
        <v>96.399866646851123</v>
      </c>
      <c r="L718" s="528"/>
      <c r="M718" s="528"/>
    </row>
    <row r="719" spans="1:13" s="42" customFormat="1" ht="20.100000000000001" customHeight="1">
      <c r="A719" s="331">
        <f t="shared" si="225"/>
        <v>42</v>
      </c>
      <c r="B719" s="280" t="s">
        <v>92</v>
      </c>
      <c r="C719" s="281"/>
      <c r="D719" s="228">
        <v>2.74</v>
      </c>
      <c r="E719" s="81" t="s">
        <v>40</v>
      </c>
      <c r="F719" s="283">
        <v>300000</v>
      </c>
      <c r="G719" s="149">
        <f t="shared" si="224"/>
        <v>822000.00000000012</v>
      </c>
      <c r="H719" s="535"/>
      <c r="I719" s="541">
        <v>216641.42500000002</v>
      </c>
      <c r="J719" s="560">
        <f t="shared" si="217"/>
        <v>593597.50450000004</v>
      </c>
      <c r="K719" s="560">
        <f t="shared" si="226"/>
        <v>138.47767111022279</v>
      </c>
      <c r="L719" s="528"/>
      <c r="M719" s="528"/>
    </row>
    <row r="720" spans="1:13" s="42" customFormat="1" ht="20.100000000000001" customHeight="1">
      <c r="A720" s="331">
        <f t="shared" si="225"/>
        <v>43</v>
      </c>
      <c r="B720" s="351" t="s">
        <v>373</v>
      </c>
      <c r="C720" s="352"/>
      <c r="D720" s="228">
        <v>8</v>
      </c>
      <c r="E720" s="81" t="s">
        <v>2</v>
      </c>
      <c r="F720" s="223">
        <v>3000000</v>
      </c>
      <c r="G720" s="149">
        <f t="shared" si="224"/>
        <v>24000000</v>
      </c>
      <c r="H720" s="535"/>
      <c r="I720" s="551">
        <v>3655469.0904875007</v>
      </c>
      <c r="J720" s="560">
        <f t="shared" si="217"/>
        <v>29243752.723900005</v>
      </c>
      <c r="K720" s="560">
        <f t="shared" si="226"/>
        <v>82.068810479256825</v>
      </c>
      <c r="L720" s="528"/>
      <c r="M720" s="528"/>
    </row>
    <row r="721" spans="1:13" s="42" customFormat="1" ht="20.100000000000001" customHeight="1">
      <c r="A721" s="226"/>
      <c r="B721" s="227" t="s">
        <v>374</v>
      </c>
      <c r="C721" s="225"/>
      <c r="D721" s="228"/>
      <c r="E721" s="81"/>
      <c r="F721" s="223"/>
      <c r="G721" s="149"/>
      <c r="H721" s="535"/>
      <c r="I721" s="551"/>
      <c r="J721" s="560">
        <f t="shared" si="217"/>
        <v>0</v>
      </c>
      <c r="K721" s="560"/>
      <c r="L721" s="528"/>
      <c r="M721" s="528"/>
    </row>
    <row r="722" spans="1:13" s="42" customFormat="1" ht="20.100000000000001" customHeight="1">
      <c r="A722" s="318">
        <f>1+A720</f>
        <v>44</v>
      </c>
      <c r="B722" s="227" t="s">
        <v>331</v>
      </c>
      <c r="C722" s="225"/>
      <c r="D722" s="228">
        <v>4</v>
      </c>
      <c r="E722" s="81" t="s">
        <v>2</v>
      </c>
      <c r="F722" s="223">
        <v>2600000</v>
      </c>
      <c r="G722" s="149">
        <f t="shared" si="224"/>
        <v>10400000</v>
      </c>
      <c r="H722" s="535"/>
      <c r="I722" s="551">
        <v>3537921.7500000005</v>
      </c>
      <c r="J722" s="560">
        <f t="shared" si="217"/>
        <v>14151687.000000002</v>
      </c>
      <c r="K722" s="560">
        <f t="shared" si="226"/>
        <v>73.489471608579237</v>
      </c>
      <c r="L722" s="528"/>
      <c r="M722" s="528"/>
    </row>
    <row r="723" spans="1:13" s="42" customFormat="1" ht="20.100000000000001" customHeight="1">
      <c r="A723" s="318">
        <f>A722+1</f>
        <v>45</v>
      </c>
      <c r="B723" s="227" t="s">
        <v>332</v>
      </c>
      <c r="C723" s="225"/>
      <c r="D723" s="228">
        <v>4</v>
      </c>
      <c r="E723" s="81" t="s">
        <v>2</v>
      </c>
      <c r="F723" s="223">
        <v>500000</v>
      </c>
      <c r="G723" s="149">
        <f t="shared" si="224"/>
        <v>2000000</v>
      </c>
      <c r="H723" s="535"/>
      <c r="I723" s="551">
        <v>824910.9</v>
      </c>
      <c r="J723" s="560">
        <f t="shared" si="217"/>
        <v>3299643.6</v>
      </c>
      <c r="K723" s="560">
        <f t="shared" si="226"/>
        <v>60.612606767591501</v>
      </c>
      <c r="L723" s="528"/>
      <c r="M723" s="528"/>
    </row>
    <row r="724" spans="1:13" s="42" customFormat="1" ht="20.100000000000001" customHeight="1">
      <c r="A724" s="318">
        <f t="shared" ref="A724:A732" si="227">A723+1</f>
        <v>46</v>
      </c>
      <c r="B724" s="227" t="s">
        <v>333</v>
      </c>
      <c r="C724" s="225"/>
      <c r="D724" s="228">
        <v>4</v>
      </c>
      <c r="E724" s="81" t="s">
        <v>2</v>
      </c>
      <c r="F724" s="223">
        <v>1500000</v>
      </c>
      <c r="G724" s="149">
        <f t="shared" si="224"/>
        <v>6000000</v>
      </c>
      <c r="H724" s="535"/>
      <c r="I724" s="551">
        <v>1975421.2500000002</v>
      </c>
      <c r="J724" s="560">
        <f t="shared" si="217"/>
        <v>7901685.0000000009</v>
      </c>
      <c r="K724" s="560">
        <f t="shared" si="226"/>
        <v>75.933171216012767</v>
      </c>
      <c r="L724" s="528"/>
      <c r="M724" s="528"/>
    </row>
    <row r="725" spans="1:13" s="42" customFormat="1" ht="20.100000000000001" customHeight="1">
      <c r="A725" s="318">
        <f t="shared" si="227"/>
        <v>47</v>
      </c>
      <c r="B725" s="227" t="s">
        <v>334</v>
      </c>
      <c r="C725" s="225"/>
      <c r="D725" s="228">
        <v>8</v>
      </c>
      <c r="E725" s="81" t="s">
        <v>2</v>
      </c>
      <c r="F725" s="223">
        <v>150000</v>
      </c>
      <c r="G725" s="149">
        <f t="shared" si="224"/>
        <v>1200000</v>
      </c>
      <c r="H725" s="535"/>
      <c r="I725" s="551">
        <v>254938.75000000003</v>
      </c>
      <c r="J725" s="560">
        <f t="shared" si="217"/>
        <v>2039510.0000000002</v>
      </c>
      <c r="K725" s="560">
        <f t="shared" si="226"/>
        <v>58.837661987438153</v>
      </c>
      <c r="L725" s="528"/>
      <c r="M725" s="528"/>
    </row>
    <row r="726" spans="1:13" s="42" customFormat="1" ht="20.100000000000001" customHeight="1">
      <c r="A726" s="318">
        <f t="shared" si="227"/>
        <v>48</v>
      </c>
      <c r="B726" s="227" t="s">
        <v>335</v>
      </c>
      <c r="C726" s="225"/>
      <c r="D726" s="228">
        <v>8</v>
      </c>
      <c r="E726" s="81" t="s">
        <v>2</v>
      </c>
      <c r="F726" s="223">
        <v>200000</v>
      </c>
      <c r="G726" s="149">
        <f t="shared" si="224"/>
        <v>1600000</v>
      </c>
      <c r="H726" s="535"/>
      <c r="I726" s="551">
        <v>422138.75000000006</v>
      </c>
      <c r="J726" s="560">
        <f t="shared" si="217"/>
        <v>3377110.0000000005</v>
      </c>
      <c r="K726" s="576">
        <f t="shared" si="226"/>
        <v>47.377787516545204</v>
      </c>
      <c r="L726" s="528"/>
      <c r="M726" s="528"/>
    </row>
    <row r="727" spans="1:13" s="42" customFormat="1" ht="20.100000000000001" customHeight="1">
      <c r="A727" s="318">
        <f t="shared" si="227"/>
        <v>49</v>
      </c>
      <c r="B727" s="227" t="s">
        <v>336</v>
      </c>
      <c r="C727" s="225"/>
      <c r="D727" s="228">
        <v>8</v>
      </c>
      <c r="E727" s="81" t="s">
        <v>2</v>
      </c>
      <c r="F727" s="223">
        <v>300000</v>
      </c>
      <c r="G727" s="149">
        <f t="shared" si="224"/>
        <v>2400000</v>
      </c>
      <c r="H727" s="535"/>
      <c r="I727" s="551">
        <v>421726.25000000006</v>
      </c>
      <c r="J727" s="560">
        <f t="shared" si="217"/>
        <v>3373810.0000000005</v>
      </c>
      <c r="K727" s="560">
        <f t="shared" si="226"/>
        <v>71.136193205900739</v>
      </c>
      <c r="L727" s="528"/>
      <c r="M727" s="528"/>
    </row>
    <row r="728" spans="1:13" s="42" customFormat="1" ht="20.100000000000001" customHeight="1">
      <c r="A728" s="318">
        <f t="shared" si="227"/>
        <v>50</v>
      </c>
      <c r="B728" s="227" t="s">
        <v>337</v>
      </c>
      <c r="C728" s="225"/>
      <c r="D728" s="228">
        <v>8</v>
      </c>
      <c r="E728" s="81" t="s">
        <v>2</v>
      </c>
      <c r="F728" s="223">
        <v>350000</v>
      </c>
      <c r="G728" s="149">
        <f t="shared" si="224"/>
        <v>2800000</v>
      </c>
      <c r="H728" s="535"/>
      <c r="I728" s="551">
        <v>128026.25000000001</v>
      </c>
      <c r="J728" s="560">
        <f t="shared" si="217"/>
        <v>1024210.0000000001</v>
      </c>
      <c r="K728" s="560">
        <f t="shared" si="226"/>
        <v>273.38143544780854</v>
      </c>
      <c r="L728" s="528"/>
      <c r="M728" s="528"/>
    </row>
    <row r="729" spans="1:13" s="42" customFormat="1" ht="20.100000000000001" customHeight="1">
      <c r="A729" s="318">
        <f t="shared" si="227"/>
        <v>51</v>
      </c>
      <c r="B729" s="227" t="s">
        <v>338</v>
      </c>
      <c r="C729" s="225"/>
      <c r="D729" s="228">
        <v>8</v>
      </c>
      <c r="E729" s="81" t="s">
        <v>2</v>
      </c>
      <c r="F729" s="223">
        <v>250000</v>
      </c>
      <c r="G729" s="149">
        <f t="shared" si="224"/>
        <v>2000000</v>
      </c>
      <c r="H729" s="535"/>
      <c r="I729" s="551">
        <v>282026.25</v>
      </c>
      <c r="J729" s="560">
        <f t="shared" si="217"/>
        <v>2256210</v>
      </c>
      <c r="K729" s="560">
        <f t="shared" si="226"/>
        <v>88.644230811848189</v>
      </c>
      <c r="L729" s="528"/>
      <c r="M729" s="528"/>
    </row>
    <row r="730" spans="1:13" s="42" customFormat="1" ht="20.100000000000001" customHeight="1">
      <c r="A730" s="318">
        <f t="shared" si="227"/>
        <v>52</v>
      </c>
      <c r="B730" s="227" t="s">
        <v>339</v>
      </c>
      <c r="C730" s="225"/>
      <c r="D730" s="228">
        <v>4</v>
      </c>
      <c r="E730" s="81" t="s">
        <v>2</v>
      </c>
      <c r="F730" s="223">
        <v>300000</v>
      </c>
      <c r="G730" s="149">
        <f t="shared" si="224"/>
        <v>1200000</v>
      </c>
      <c r="H730" s="535"/>
      <c r="I730" s="551">
        <v>242406.67</v>
      </c>
      <c r="J730" s="560">
        <f t="shared" si="217"/>
        <v>969626.68</v>
      </c>
      <c r="K730" s="560">
        <f t="shared" si="226"/>
        <v>123.75897082369886</v>
      </c>
      <c r="L730" s="528"/>
      <c r="M730" s="528"/>
    </row>
    <row r="731" spans="1:13" s="42" customFormat="1" ht="20.100000000000001" customHeight="1">
      <c r="A731" s="353">
        <f t="shared" si="227"/>
        <v>53</v>
      </c>
      <c r="B731" s="354" t="s">
        <v>340</v>
      </c>
      <c r="C731" s="225"/>
      <c r="D731" s="228">
        <v>4</v>
      </c>
      <c r="E731" s="81" t="s">
        <v>2</v>
      </c>
      <c r="F731" s="223">
        <v>1200000</v>
      </c>
      <c r="G731" s="149">
        <f t="shared" si="224"/>
        <v>4800000</v>
      </c>
      <c r="H731" s="535"/>
      <c r="I731" s="551">
        <v>619003.36357894738</v>
      </c>
      <c r="J731" s="560">
        <f t="shared" si="217"/>
        <v>2476013.4543157895</v>
      </c>
      <c r="K731" s="560">
        <f t="shared" si="226"/>
        <v>193.86001282155434</v>
      </c>
      <c r="L731" s="528"/>
      <c r="M731" s="528"/>
    </row>
    <row r="732" spans="1:13" s="42" customFormat="1" ht="27.75" customHeight="1">
      <c r="A732" s="353">
        <f t="shared" si="227"/>
        <v>54</v>
      </c>
      <c r="B732" s="584" t="s">
        <v>397</v>
      </c>
      <c r="C732" s="585"/>
      <c r="D732" s="228">
        <v>1</v>
      </c>
      <c r="E732" s="355" t="s">
        <v>4</v>
      </c>
      <c r="F732" s="223">
        <f>5*5000000</f>
        <v>25000000</v>
      </c>
      <c r="G732" s="149">
        <f t="shared" si="224"/>
        <v>25000000</v>
      </c>
      <c r="H732" s="535"/>
      <c r="I732" s="551">
        <v>60000000</v>
      </c>
      <c r="J732" s="560">
        <f t="shared" si="217"/>
        <v>60000000</v>
      </c>
      <c r="K732" s="576">
        <f t="shared" si="226"/>
        <v>41.666666666666671</v>
      </c>
      <c r="L732" s="528"/>
      <c r="M732" s="528"/>
    </row>
    <row r="733" spans="1:13" s="42" customFormat="1" ht="20.100000000000001" customHeight="1">
      <c r="A733" s="356">
        <f>A732+1</f>
        <v>55</v>
      </c>
      <c r="B733" s="357" t="s">
        <v>341</v>
      </c>
      <c r="C733" s="358"/>
      <c r="D733" s="228">
        <v>27.52</v>
      </c>
      <c r="E733" s="81" t="s">
        <v>52</v>
      </c>
      <c r="F733" s="223">
        <v>150000</v>
      </c>
      <c r="G733" s="149">
        <f t="shared" si="224"/>
        <v>4128000</v>
      </c>
      <c r="H733" s="535"/>
      <c r="I733" s="551">
        <v>434379.16609999997</v>
      </c>
      <c r="J733" s="560">
        <f t="shared" si="217"/>
        <v>11954114.651071999</v>
      </c>
      <c r="K733" s="576">
        <f t="shared" si="226"/>
        <v>34.532042903150646</v>
      </c>
      <c r="L733" s="528"/>
      <c r="M733" s="528"/>
    </row>
    <row r="734" spans="1:13" s="42" customFormat="1" ht="20.100000000000001" customHeight="1">
      <c r="A734" s="356">
        <f>A733+1</f>
        <v>56</v>
      </c>
      <c r="B734" s="324" t="s">
        <v>375</v>
      </c>
      <c r="C734" s="359"/>
      <c r="D734" s="228">
        <v>3</v>
      </c>
      <c r="E734" s="81" t="s">
        <v>2</v>
      </c>
      <c r="F734" s="223">
        <v>250000</v>
      </c>
      <c r="G734" s="149">
        <f t="shared" si="224"/>
        <v>750000</v>
      </c>
      <c r="H734" s="535"/>
      <c r="I734" s="551">
        <v>175000</v>
      </c>
      <c r="J734" s="560">
        <f t="shared" ref="J734:J772" si="228">D734*I734</f>
        <v>525000</v>
      </c>
      <c r="K734" s="560">
        <f t="shared" si="226"/>
        <v>142.85714285714286</v>
      </c>
      <c r="L734" s="528"/>
      <c r="M734" s="528"/>
    </row>
    <row r="735" spans="1:13" s="42" customFormat="1" ht="20.100000000000001" customHeight="1">
      <c r="A735" s="356">
        <f>A734+1</f>
        <v>57</v>
      </c>
      <c r="B735" s="324" t="s">
        <v>376</v>
      </c>
      <c r="C735" s="359"/>
      <c r="D735" s="228">
        <v>18</v>
      </c>
      <c r="E735" s="81" t="s">
        <v>52</v>
      </c>
      <c r="F735" s="223">
        <f>230000/3</f>
        <v>76666.666666666672</v>
      </c>
      <c r="G735" s="149">
        <f t="shared" si="224"/>
        <v>1380000</v>
      </c>
      <c r="H735" s="535"/>
      <c r="I735" s="551">
        <v>57000</v>
      </c>
      <c r="J735" s="560">
        <f t="shared" si="228"/>
        <v>1026000</v>
      </c>
      <c r="K735" s="560">
        <f t="shared" si="226"/>
        <v>134.5029239766082</v>
      </c>
      <c r="L735" s="528"/>
      <c r="M735" s="528"/>
    </row>
    <row r="736" spans="1:13" s="42" customFormat="1" ht="20.100000000000001" customHeight="1">
      <c r="A736" s="356">
        <f>A735+1</f>
        <v>58</v>
      </c>
      <c r="B736" s="324" t="s">
        <v>379</v>
      </c>
      <c r="C736" s="359"/>
      <c r="D736" s="228">
        <v>37.6</v>
      </c>
      <c r="E736" s="81" t="s">
        <v>52</v>
      </c>
      <c r="F736" s="223">
        <f>800000/3</f>
        <v>266666.66666666669</v>
      </c>
      <c r="G736" s="149">
        <f t="shared" si="224"/>
        <v>10026666.666666668</v>
      </c>
      <c r="H736" s="535"/>
      <c r="I736" s="551">
        <v>276000</v>
      </c>
      <c r="J736" s="560">
        <f t="shared" si="228"/>
        <v>10377600</v>
      </c>
      <c r="K736" s="560">
        <f t="shared" si="226"/>
        <v>96.618357487922708</v>
      </c>
      <c r="L736" s="528"/>
      <c r="M736" s="528"/>
    </row>
    <row r="737" spans="1:13" s="42" customFormat="1" ht="20.100000000000001" customHeight="1">
      <c r="A737" s="356">
        <f>A736+1</f>
        <v>59</v>
      </c>
      <c r="B737" s="360" t="s">
        <v>377</v>
      </c>
      <c r="C737" s="361"/>
      <c r="D737" s="228">
        <v>2</v>
      </c>
      <c r="E737" s="81" t="s">
        <v>2</v>
      </c>
      <c r="F737" s="223">
        <v>500000</v>
      </c>
      <c r="G737" s="149">
        <f t="shared" si="224"/>
        <v>1000000</v>
      </c>
      <c r="H737" s="535"/>
      <c r="I737" s="551">
        <v>481110.16250000003</v>
      </c>
      <c r="J737" s="560">
        <f t="shared" si="228"/>
        <v>962220.32500000007</v>
      </c>
      <c r="K737" s="560">
        <f t="shared" si="226"/>
        <v>103.92630191011605</v>
      </c>
      <c r="L737" s="528"/>
      <c r="M737" s="528"/>
    </row>
    <row r="738" spans="1:13" s="42" customFormat="1" ht="20.100000000000001" customHeight="1">
      <c r="A738" s="356">
        <f t="shared" ref="A738:A739" si="229">A737+1</f>
        <v>60</v>
      </c>
      <c r="B738" s="227" t="s">
        <v>204</v>
      </c>
      <c r="C738" s="352"/>
      <c r="D738" s="338">
        <v>201.50880000000001</v>
      </c>
      <c r="E738" s="289" t="s">
        <v>58</v>
      </c>
      <c r="F738" s="223">
        <v>40000</v>
      </c>
      <c r="G738" s="149">
        <f t="shared" si="224"/>
        <v>8060352</v>
      </c>
      <c r="H738" s="535"/>
      <c r="I738" s="551">
        <v>43410.400000000001</v>
      </c>
      <c r="J738" s="560">
        <f t="shared" si="228"/>
        <v>8747577.6115199998</v>
      </c>
      <c r="K738" s="560">
        <f t="shared" si="226"/>
        <v>92.143818071245605</v>
      </c>
      <c r="L738" s="528"/>
      <c r="M738" s="528"/>
    </row>
    <row r="739" spans="1:13" s="42" customFormat="1" ht="20.100000000000001" customHeight="1">
      <c r="A739" s="356">
        <f t="shared" si="229"/>
        <v>61</v>
      </c>
      <c r="B739" s="227" t="s">
        <v>378</v>
      </c>
      <c r="C739" s="352"/>
      <c r="D739" s="338">
        <v>87.100400000000008</v>
      </c>
      <c r="E739" s="289" t="s">
        <v>58</v>
      </c>
      <c r="F739" s="223">
        <v>32000</v>
      </c>
      <c r="G739" s="149">
        <f t="shared" si="224"/>
        <v>2787212.8000000003</v>
      </c>
      <c r="H739" s="535"/>
      <c r="I739" s="551">
        <v>39684.15</v>
      </c>
      <c r="J739" s="560">
        <f t="shared" si="228"/>
        <v>3456505.3386600004</v>
      </c>
      <c r="K739" s="560">
        <f t="shared" si="226"/>
        <v>80.636727761587437</v>
      </c>
      <c r="L739" s="528"/>
      <c r="M739" s="528"/>
    </row>
    <row r="740" spans="1:13" s="42" customFormat="1" ht="20.100000000000001" customHeight="1">
      <c r="A740" s="318">
        <f>1+A739</f>
        <v>62</v>
      </c>
      <c r="B740" s="227" t="s">
        <v>382</v>
      </c>
      <c r="C740" s="225"/>
      <c r="D740" s="362">
        <v>35.354000000000006</v>
      </c>
      <c r="E740" s="289" t="s">
        <v>80</v>
      </c>
      <c r="F740" s="223">
        <v>1300000</v>
      </c>
      <c r="G740" s="149">
        <f t="shared" si="224"/>
        <v>45960200.000000007</v>
      </c>
      <c r="H740" s="535"/>
      <c r="I740" s="551">
        <v>809783.33333333349</v>
      </c>
      <c r="J740" s="560">
        <f t="shared" si="228"/>
        <v>28629079.966666676</v>
      </c>
      <c r="K740" s="560">
        <f t="shared" si="226"/>
        <v>160.53676909461376</v>
      </c>
      <c r="L740" s="528"/>
      <c r="M740" s="528"/>
    </row>
    <row r="741" spans="1:13" s="42" customFormat="1" ht="20.100000000000001" customHeight="1">
      <c r="A741" s="363"/>
      <c r="B741" s="227" t="s">
        <v>380</v>
      </c>
      <c r="C741" s="225"/>
      <c r="D741" s="364"/>
      <c r="E741" s="365"/>
      <c r="F741" s="366"/>
      <c r="G741" s="149"/>
      <c r="H741" s="535"/>
      <c r="I741" s="551"/>
      <c r="J741" s="560">
        <f t="shared" si="228"/>
        <v>0</v>
      </c>
      <c r="K741" s="560"/>
      <c r="L741" s="528"/>
      <c r="M741" s="528"/>
    </row>
    <row r="742" spans="1:13" s="42" customFormat="1" ht="20.100000000000001" customHeight="1">
      <c r="A742" s="318"/>
      <c r="B742" s="227" t="s">
        <v>310</v>
      </c>
      <c r="C742" s="225"/>
      <c r="D742" s="364"/>
      <c r="E742" s="365"/>
      <c r="F742" s="223"/>
      <c r="G742" s="149"/>
      <c r="H742" s="535"/>
      <c r="I742" s="551"/>
      <c r="J742" s="560">
        <f t="shared" si="228"/>
        <v>0</v>
      </c>
      <c r="K742" s="560"/>
      <c r="L742" s="528"/>
      <c r="M742" s="528"/>
    </row>
    <row r="743" spans="1:13" s="42" customFormat="1" ht="20.100000000000001" customHeight="1">
      <c r="A743" s="318"/>
      <c r="B743" s="227" t="s">
        <v>381</v>
      </c>
      <c r="C743" s="225"/>
      <c r="D743" s="364"/>
      <c r="E743" s="365"/>
      <c r="F743" s="223"/>
      <c r="G743" s="149"/>
      <c r="H743" s="535"/>
      <c r="I743" s="551"/>
      <c r="J743" s="560">
        <f t="shared" si="228"/>
        <v>0</v>
      </c>
      <c r="K743" s="560"/>
      <c r="L743" s="528"/>
      <c r="M743" s="528"/>
    </row>
    <row r="744" spans="1:13" s="42" customFormat="1" ht="20.100000000000001" customHeight="1">
      <c r="A744" s="146"/>
      <c r="B744" s="213" t="s">
        <v>385</v>
      </c>
      <c r="C744" s="214"/>
      <c r="D744" s="219"/>
      <c r="E744" s="220"/>
      <c r="F744" s="223"/>
      <c r="G744" s="149"/>
      <c r="H744" s="535"/>
      <c r="I744" s="551"/>
      <c r="J744" s="560">
        <f t="shared" si="228"/>
        <v>0</v>
      </c>
      <c r="K744" s="560"/>
      <c r="L744" s="528"/>
      <c r="M744" s="528"/>
    </row>
    <row r="745" spans="1:13" s="42" customFormat="1" ht="20.100000000000001" customHeight="1">
      <c r="A745" s="331">
        <f>A740+1</f>
        <v>63</v>
      </c>
      <c r="B745" s="286" t="s">
        <v>372</v>
      </c>
      <c r="C745" s="281"/>
      <c r="D745" s="282">
        <v>95.821599999999989</v>
      </c>
      <c r="E745" s="81" t="s">
        <v>40</v>
      </c>
      <c r="F745" s="283">
        <v>60000</v>
      </c>
      <c r="G745" s="149">
        <f t="shared" si="224"/>
        <v>5749295.9999999991</v>
      </c>
      <c r="H745" s="535"/>
      <c r="I745" s="541">
        <v>62240.750000000007</v>
      </c>
      <c r="J745" s="560">
        <f t="shared" si="228"/>
        <v>5964008.2501999997</v>
      </c>
      <c r="K745" s="560">
        <f t="shared" si="226"/>
        <v>96.399866646851123</v>
      </c>
      <c r="L745" s="528"/>
      <c r="M745" s="528"/>
    </row>
    <row r="746" spans="1:13" s="42" customFormat="1" ht="20.100000000000001" customHeight="1">
      <c r="A746" s="331">
        <f t="shared" ref="A746:A747" si="230">A745+1</f>
        <v>64</v>
      </c>
      <c r="B746" s="280" t="s">
        <v>92</v>
      </c>
      <c r="C746" s="281"/>
      <c r="D746" s="228">
        <v>9.516</v>
      </c>
      <c r="E746" s="81" t="s">
        <v>40</v>
      </c>
      <c r="F746" s="283">
        <v>300000</v>
      </c>
      <c r="G746" s="149">
        <f t="shared" si="224"/>
        <v>2854800</v>
      </c>
      <c r="H746" s="535"/>
      <c r="I746" s="541">
        <v>216641.42500000002</v>
      </c>
      <c r="J746" s="560">
        <f t="shared" si="228"/>
        <v>2061559.8003000002</v>
      </c>
      <c r="K746" s="560">
        <f t="shared" si="226"/>
        <v>138.47767111022279</v>
      </c>
      <c r="L746" s="528"/>
      <c r="M746" s="528"/>
    </row>
    <row r="747" spans="1:13" s="42" customFormat="1" ht="20.100000000000001" customHeight="1">
      <c r="A747" s="331">
        <f t="shared" si="230"/>
        <v>65</v>
      </c>
      <c r="B747" s="227" t="s">
        <v>383</v>
      </c>
      <c r="C747" s="225"/>
      <c r="D747" s="362">
        <v>33.520000000000003</v>
      </c>
      <c r="E747" s="289" t="s">
        <v>80</v>
      </c>
      <c r="F747" s="46">
        <f>F740</f>
        <v>1300000</v>
      </c>
      <c r="G747" s="149">
        <f t="shared" si="224"/>
        <v>43576000.000000007</v>
      </c>
      <c r="H747" s="535"/>
      <c r="I747" s="46">
        <v>809783.33333333349</v>
      </c>
      <c r="J747" s="560">
        <f t="shared" si="228"/>
        <v>27143937.33333334</v>
      </c>
      <c r="K747" s="560">
        <f t="shared" si="226"/>
        <v>160.53676909461376</v>
      </c>
      <c r="L747" s="528"/>
      <c r="M747" s="528"/>
    </row>
    <row r="748" spans="1:13" s="42" customFormat="1" ht="20.100000000000001" customHeight="1">
      <c r="A748" s="363"/>
      <c r="B748" s="227" t="s">
        <v>380</v>
      </c>
      <c r="C748" s="225"/>
      <c r="D748" s="364"/>
      <c r="E748" s="365"/>
      <c r="F748" s="46"/>
      <c r="G748" s="149"/>
      <c r="H748" s="535"/>
      <c r="I748" s="46"/>
      <c r="J748" s="560">
        <f t="shared" si="228"/>
        <v>0</v>
      </c>
      <c r="K748" s="560"/>
      <c r="L748" s="528"/>
      <c r="M748" s="528"/>
    </row>
    <row r="749" spans="1:13" s="42" customFormat="1" ht="20.100000000000001" customHeight="1">
      <c r="A749" s="318"/>
      <c r="B749" s="227" t="s">
        <v>310</v>
      </c>
      <c r="C749" s="225"/>
      <c r="D749" s="364"/>
      <c r="E749" s="365"/>
      <c r="F749" s="46"/>
      <c r="G749" s="149"/>
      <c r="H749" s="535"/>
      <c r="I749" s="46"/>
      <c r="J749" s="560">
        <f t="shared" si="228"/>
        <v>0</v>
      </c>
      <c r="K749" s="560"/>
      <c r="L749" s="528"/>
      <c r="M749" s="528"/>
    </row>
    <row r="750" spans="1:13" s="42" customFormat="1" ht="20.100000000000001" customHeight="1">
      <c r="A750" s="318"/>
      <c r="B750" s="227" t="s">
        <v>381</v>
      </c>
      <c r="C750" s="225"/>
      <c r="D750" s="364"/>
      <c r="E750" s="365"/>
      <c r="F750" s="46"/>
      <c r="G750" s="149"/>
      <c r="H750" s="535"/>
      <c r="I750" s="46"/>
      <c r="J750" s="560">
        <f t="shared" si="228"/>
        <v>0</v>
      </c>
      <c r="K750" s="560"/>
      <c r="L750" s="528"/>
      <c r="M750" s="528"/>
    </row>
    <row r="751" spans="1:13" s="42" customFormat="1" ht="20.100000000000001" customHeight="1">
      <c r="A751" s="146"/>
      <c r="B751" s="213" t="s">
        <v>386</v>
      </c>
      <c r="C751" s="214"/>
      <c r="D751" s="219"/>
      <c r="E751" s="220"/>
      <c r="F751" s="223"/>
      <c r="G751" s="149"/>
      <c r="H751" s="535"/>
      <c r="I751" s="551"/>
      <c r="J751" s="560">
        <f t="shared" si="228"/>
        <v>0</v>
      </c>
      <c r="K751" s="560"/>
      <c r="L751" s="528"/>
      <c r="M751" s="528"/>
    </row>
    <row r="752" spans="1:13" s="42" customFormat="1" ht="20.100000000000001" customHeight="1">
      <c r="A752" s="271">
        <f>1+A747</f>
        <v>66</v>
      </c>
      <c r="B752" s="272" t="s">
        <v>37</v>
      </c>
      <c r="C752" s="273"/>
      <c r="D752" s="274">
        <v>51.206000000000003</v>
      </c>
      <c r="E752" s="45" t="s">
        <v>38</v>
      </c>
      <c r="F752" s="46">
        <f>F670</f>
        <v>90000</v>
      </c>
      <c r="G752" s="149">
        <f t="shared" si="224"/>
        <v>4608540</v>
      </c>
      <c r="H752" s="535"/>
      <c r="I752" s="46">
        <v>68612.5</v>
      </c>
      <c r="J752" s="560">
        <f t="shared" si="228"/>
        <v>3513371.6750000003</v>
      </c>
      <c r="K752" s="560">
        <f t="shared" si="226"/>
        <v>131.17143377664419</v>
      </c>
      <c r="L752" s="528"/>
      <c r="M752" s="528"/>
    </row>
    <row r="753" spans="1:13" s="42" customFormat="1" ht="20.100000000000001" customHeight="1">
      <c r="A753" s="271">
        <f t="shared" ref="A753:A759" si="231">A752+1</f>
        <v>67</v>
      </c>
      <c r="B753" s="272" t="s">
        <v>10</v>
      </c>
      <c r="C753" s="273"/>
      <c r="D753" s="274">
        <v>1.9430000000000003</v>
      </c>
      <c r="E753" s="45" t="s">
        <v>38</v>
      </c>
      <c r="F753" s="46">
        <f>F676</f>
        <v>350000</v>
      </c>
      <c r="G753" s="149">
        <f t="shared" si="224"/>
        <v>680050.00000000012</v>
      </c>
      <c r="H753" s="535"/>
      <c r="I753" s="46">
        <v>257207.50000000003</v>
      </c>
      <c r="J753" s="560">
        <f t="shared" si="228"/>
        <v>499754.1725000001</v>
      </c>
      <c r="K753" s="560">
        <f t="shared" si="226"/>
        <v>136.07690288969022</v>
      </c>
      <c r="L753" s="528"/>
      <c r="M753" s="528"/>
    </row>
    <row r="754" spans="1:13" s="42" customFormat="1" ht="20.100000000000001" customHeight="1">
      <c r="A754" s="271">
        <f t="shared" si="231"/>
        <v>68</v>
      </c>
      <c r="B754" s="272" t="s">
        <v>50</v>
      </c>
      <c r="C754" s="273"/>
      <c r="D754" s="274">
        <v>64.496139999999997</v>
      </c>
      <c r="E754" s="45" t="s">
        <v>38</v>
      </c>
      <c r="F754" s="46">
        <f>F638</f>
        <v>900000</v>
      </c>
      <c r="G754" s="149">
        <f t="shared" si="224"/>
        <v>58046526</v>
      </c>
      <c r="H754" s="535"/>
      <c r="I754" s="46">
        <v>1120599.7000000002</v>
      </c>
      <c r="J754" s="560">
        <f t="shared" si="228"/>
        <v>72274355.135158002</v>
      </c>
      <c r="K754" s="560">
        <f t="shared" si="226"/>
        <v>80.314138938284557</v>
      </c>
      <c r="L754" s="528"/>
      <c r="M754" s="528"/>
    </row>
    <row r="755" spans="1:13" s="42" customFormat="1" ht="20.100000000000001" customHeight="1">
      <c r="A755" s="271">
        <f t="shared" si="231"/>
        <v>69</v>
      </c>
      <c r="B755" s="272" t="s">
        <v>51</v>
      </c>
      <c r="C755" s="273"/>
      <c r="D755" s="274">
        <v>23.400000000000002</v>
      </c>
      <c r="E755" s="45" t="s">
        <v>52</v>
      </c>
      <c r="F755" s="46">
        <v>30000</v>
      </c>
      <c r="G755" s="149">
        <f t="shared" si="224"/>
        <v>702000.00000000012</v>
      </c>
      <c r="H755" s="535"/>
      <c r="I755" s="46">
        <v>23500</v>
      </c>
      <c r="J755" s="560">
        <f t="shared" si="228"/>
        <v>549900</v>
      </c>
      <c r="K755" s="560">
        <f t="shared" si="226"/>
        <v>127.65957446808511</v>
      </c>
      <c r="L755" s="528"/>
      <c r="M755" s="528"/>
    </row>
    <row r="756" spans="1:13" s="42" customFormat="1" ht="20.100000000000001" customHeight="1">
      <c r="A756" s="271">
        <f t="shared" si="231"/>
        <v>70</v>
      </c>
      <c r="B756" s="272" t="s">
        <v>116</v>
      </c>
      <c r="C756" s="273"/>
      <c r="D756" s="274">
        <v>23.088000000000001</v>
      </c>
      <c r="E756" s="45" t="s">
        <v>40</v>
      </c>
      <c r="F756" s="46">
        <v>60000</v>
      </c>
      <c r="G756" s="149">
        <f t="shared" si="224"/>
        <v>1385280</v>
      </c>
      <c r="H756" s="535"/>
      <c r="I756" s="46">
        <v>111088.2828</v>
      </c>
      <c r="J756" s="560">
        <f t="shared" si="228"/>
        <v>2564806.2732863999</v>
      </c>
      <c r="K756" s="576">
        <f t="shared" si="226"/>
        <v>54.011096839098862</v>
      </c>
      <c r="L756" s="528"/>
      <c r="M756" s="528"/>
    </row>
    <row r="757" spans="1:13" s="42" customFormat="1" ht="20.100000000000001" customHeight="1">
      <c r="A757" s="66">
        <f t="shared" ref="A757:A758" si="232">1+A756</f>
        <v>71</v>
      </c>
      <c r="B757" s="272" t="s">
        <v>18</v>
      </c>
      <c r="C757" s="273"/>
      <c r="D757" s="274">
        <v>24.411999999999999</v>
      </c>
      <c r="E757" s="45" t="s">
        <v>40</v>
      </c>
      <c r="F757" s="46">
        <v>40000</v>
      </c>
      <c r="G757" s="149">
        <f t="shared" si="224"/>
        <v>976480</v>
      </c>
      <c r="H757" s="535"/>
      <c r="I757" s="46">
        <v>45665.675000000003</v>
      </c>
      <c r="J757" s="560">
        <f t="shared" si="228"/>
        <v>1114790.4580999999</v>
      </c>
      <c r="K757" s="560">
        <f t="shared" si="226"/>
        <v>87.5931429897839</v>
      </c>
      <c r="L757" s="528"/>
      <c r="M757" s="528"/>
    </row>
    <row r="758" spans="1:13" s="42" customFormat="1" ht="20.100000000000001" customHeight="1">
      <c r="A758" s="66">
        <f t="shared" si="232"/>
        <v>72</v>
      </c>
      <c r="B758" s="272" t="s">
        <v>54</v>
      </c>
      <c r="C758" s="273"/>
      <c r="D758" s="274">
        <v>88.873199999999997</v>
      </c>
      <c r="E758" s="45" t="s">
        <v>40</v>
      </c>
      <c r="F758" s="46">
        <v>75000</v>
      </c>
      <c r="G758" s="149">
        <f t="shared" si="224"/>
        <v>6665490</v>
      </c>
      <c r="H758" s="535"/>
      <c r="I758" s="46">
        <v>74545.08600000001</v>
      </c>
      <c r="J758" s="560">
        <f t="shared" si="228"/>
        <v>6625060.337095201</v>
      </c>
      <c r="K758" s="560">
        <f t="shared" si="226"/>
        <v>100.61025350483865</v>
      </c>
      <c r="L758" s="528"/>
      <c r="M758" s="528"/>
    </row>
    <row r="759" spans="1:13" s="42" customFormat="1" ht="20.100000000000001" customHeight="1">
      <c r="A759" s="271">
        <f t="shared" si="231"/>
        <v>73</v>
      </c>
      <c r="B759" s="272" t="s">
        <v>232</v>
      </c>
      <c r="C759" s="273"/>
      <c r="D759" s="274">
        <v>61.447200000000002</v>
      </c>
      <c r="E759" s="45" t="s">
        <v>38</v>
      </c>
      <c r="F759" s="46">
        <v>100000</v>
      </c>
      <c r="G759" s="149">
        <f t="shared" si="224"/>
        <v>6144720</v>
      </c>
      <c r="H759" s="535"/>
      <c r="I759" s="46">
        <v>26381.666666666668</v>
      </c>
      <c r="J759" s="560">
        <f t="shared" si="228"/>
        <v>1621079.5480000002</v>
      </c>
      <c r="K759" s="560">
        <f t="shared" si="226"/>
        <v>379.05110872449302</v>
      </c>
      <c r="L759" s="528"/>
      <c r="M759" s="528"/>
    </row>
    <row r="760" spans="1:13" s="42" customFormat="1" ht="20.100000000000001" customHeight="1">
      <c r="A760" s="230"/>
      <c r="B760" s="213" t="s">
        <v>387</v>
      </c>
      <c r="C760" s="231"/>
      <c r="D760" s="232"/>
      <c r="E760" s="233"/>
      <c r="F760" s="229"/>
      <c r="G760" s="149"/>
      <c r="H760" s="535"/>
      <c r="I760" s="46"/>
      <c r="J760" s="560">
        <f t="shared" si="228"/>
        <v>0</v>
      </c>
      <c r="K760" s="560"/>
      <c r="L760" s="528"/>
      <c r="M760" s="528"/>
    </row>
    <row r="761" spans="1:13" s="42" customFormat="1" ht="20.100000000000001" customHeight="1">
      <c r="A761" s="271">
        <f>A759+1</f>
        <v>74</v>
      </c>
      <c r="B761" s="272" t="s">
        <v>246</v>
      </c>
      <c r="C761" s="273"/>
      <c r="D761" s="274">
        <v>335.185248</v>
      </c>
      <c r="E761" s="45" t="s">
        <v>38</v>
      </c>
      <c r="F761" s="46">
        <v>100000</v>
      </c>
      <c r="G761" s="149">
        <f t="shared" si="224"/>
        <v>33518524.800000001</v>
      </c>
      <c r="H761" s="535"/>
      <c r="I761" s="46">
        <v>53256</v>
      </c>
      <c r="J761" s="560">
        <f t="shared" si="228"/>
        <v>17850625.567488</v>
      </c>
      <c r="K761" s="560">
        <f t="shared" si="226"/>
        <v>187.77226979119723</v>
      </c>
      <c r="L761" s="528"/>
      <c r="M761" s="528"/>
    </row>
    <row r="762" spans="1:13" s="42" customFormat="1" ht="20.100000000000001" customHeight="1">
      <c r="A762" s="271">
        <f>A761+1</f>
        <v>75</v>
      </c>
      <c r="B762" s="278" t="s">
        <v>39</v>
      </c>
      <c r="C762" s="184"/>
      <c r="D762" s="274">
        <v>385.2704</v>
      </c>
      <c r="E762" s="65" t="s">
        <v>40</v>
      </c>
      <c r="F762" s="277">
        <v>10000</v>
      </c>
      <c r="G762" s="149">
        <f t="shared" si="224"/>
        <v>3852704</v>
      </c>
      <c r="H762" s="535"/>
      <c r="I762" s="277">
        <v>13007.500000000002</v>
      </c>
      <c r="J762" s="560">
        <f t="shared" si="228"/>
        <v>5011404.7280000011</v>
      </c>
      <c r="K762" s="560">
        <f t="shared" si="226"/>
        <v>76.878723813184692</v>
      </c>
      <c r="L762" s="528"/>
      <c r="M762" s="528"/>
    </row>
    <row r="763" spans="1:13" s="42" customFormat="1" ht="20.100000000000001" customHeight="1">
      <c r="A763" s="271">
        <f t="shared" ref="A763:A765" si="233">A762+1</f>
        <v>76</v>
      </c>
      <c r="B763" s="278" t="s">
        <v>234</v>
      </c>
      <c r="C763" s="184"/>
      <c r="D763" s="274">
        <v>54.845324999999995</v>
      </c>
      <c r="E763" s="65" t="s">
        <v>38</v>
      </c>
      <c r="F763" s="277">
        <f>F683</f>
        <v>250000</v>
      </c>
      <c r="G763" s="149">
        <f t="shared" si="224"/>
        <v>13711331.249999998</v>
      </c>
      <c r="H763" s="535"/>
      <c r="I763" s="277">
        <v>250318.75000000003</v>
      </c>
      <c r="J763" s="560">
        <f t="shared" si="228"/>
        <v>13728813.19734375</v>
      </c>
      <c r="K763" s="560">
        <f t="shared" si="226"/>
        <v>99.872662355496729</v>
      </c>
      <c r="L763" s="528"/>
      <c r="M763" s="528"/>
    </row>
    <row r="764" spans="1:13" s="42" customFormat="1" ht="20.100000000000001" customHeight="1">
      <c r="A764" s="271">
        <f t="shared" si="233"/>
        <v>77</v>
      </c>
      <c r="B764" s="278" t="s">
        <v>388</v>
      </c>
      <c r="C764" s="184"/>
      <c r="D764" s="274">
        <v>365.63549999999998</v>
      </c>
      <c r="E764" s="65" t="s">
        <v>56</v>
      </c>
      <c r="F764" s="277">
        <f>F661</f>
        <v>161000</v>
      </c>
      <c r="G764" s="149">
        <f t="shared" ref="G764:G772" si="234">D764*F764</f>
        <v>58867315.5</v>
      </c>
      <c r="H764" s="535"/>
      <c r="I764" s="277">
        <v>166342</v>
      </c>
      <c r="J764" s="560">
        <f t="shared" si="228"/>
        <v>60820540.340999998</v>
      </c>
      <c r="K764" s="560">
        <f t="shared" si="226"/>
        <v>96.788544083875394</v>
      </c>
      <c r="L764" s="528"/>
      <c r="M764" s="528"/>
    </row>
    <row r="765" spans="1:13" s="42" customFormat="1" ht="20.100000000000001" customHeight="1">
      <c r="A765" s="271">
        <f t="shared" si="233"/>
        <v>78</v>
      </c>
      <c r="B765" s="278" t="s">
        <v>389</v>
      </c>
      <c r="C765" s="184"/>
      <c r="D765" s="64">
        <v>23.9</v>
      </c>
      <c r="E765" s="65" t="s">
        <v>52</v>
      </c>
      <c r="F765" s="277">
        <f>F662</f>
        <v>94800</v>
      </c>
      <c r="G765" s="149">
        <f t="shared" si="234"/>
        <v>2265720</v>
      </c>
      <c r="H765" s="535"/>
      <c r="I765" s="277">
        <v>157598.375</v>
      </c>
      <c r="J765" s="560">
        <f t="shared" si="228"/>
        <v>3766601.1624999996</v>
      </c>
      <c r="K765" s="560">
        <f t="shared" si="226"/>
        <v>60.152904495366791</v>
      </c>
      <c r="L765" s="528"/>
      <c r="M765" s="528"/>
    </row>
    <row r="766" spans="1:13" s="42" customFormat="1" ht="20.100000000000001" customHeight="1">
      <c r="A766" s="230"/>
      <c r="B766" s="213" t="s">
        <v>390</v>
      </c>
      <c r="C766" s="231"/>
      <c r="D766" s="232"/>
      <c r="E766" s="233"/>
      <c r="F766" s="229"/>
      <c r="G766" s="149"/>
      <c r="H766" s="535"/>
      <c r="I766" s="46"/>
      <c r="J766" s="560">
        <f t="shared" si="228"/>
        <v>0</v>
      </c>
      <c r="K766" s="560"/>
      <c r="L766" s="528"/>
      <c r="M766" s="528"/>
    </row>
    <row r="767" spans="1:13" s="42" customFormat="1" ht="20.100000000000001" customHeight="1">
      <c r="A767" s="66">
        <f>1+A765</f>
        <v>79</v>
      </c>
      <c r="B767" s="278" t="s">
        <v>19</v>
      </c>
      <c r="C767" s="184"/>
      <c r="D767" s="64">
        <v>4.32</v>
      </c>
      <c r="E767" s="45" t="s">
        <v>38</v>
      </c>
      <c r="F767" s="279">
        <f>F752</f>
        <v>90000</v>
      </c>
      <c r="G767" s="149">
        <f t="shared" si="234"/>
        <v>388800</v>
      </c>
      <c r="H767" s="535"/>
      <c r="I767" s="279">
        <v>68612.5</v>
      </c>
      <c r="J767" s="560">
        <f t="shared" si="228"/>
        <v>296406</v>
      </c>
      <c r="K767" s="560">
        <f t="shared" si="226"/>
        <v>131.17143377664419</v>
      </c>
      <c r="L767" s="528"/>
      <c r="M767" s="528"/>
    </row>
    <row r="768" spans="1:13" s="42" customFormat="1" ht="20.100000000000001" customHeight="1">
      <c r="A768" s="66">
        <f>1+A767</f>
        <v>80</v>
      </c>
      <c r="B768" s="278" t="s">
        <v>322</v>
      </c>
      <c r="C768" s="184"/>
      <c r="D768" s="64">
        <v>0.88000000000000034</v>
      </c>
      <c r="E768" s="45" t="s">
        <v>38</v>
      </c>
      <c r="F768" s="279">
        <v>30000</v>
      </c>
      <c r="G768" s="149">
        <f t="shared" si="234"/>
        <v>26400.000000000011</v>
      </c>
      <c r="H768" s="535"/>
      <c r="I768" s="279">
        <v>22870.833333333332</v>
      </c>
      <c r="J768" s="560">
        <f t="shared" si="228"/>
        <v>20126.333333333339</v>
      </c>
      <c r="K768" s="560">
        <f t="shared" si="226"/>
        <v>131.17143377664419</v>
      </c>
      <c r="L768" s="528"/>
      <c r="M768" s="528"/>
    </row>
    <row r="769" spans="1:13" s="42" customFormat="1" ht="20.100000000000001" customHeight="1">
      <c r="A769" s="66">
        <f t="shared" ref="A769:A772" si="235">1+A768</f>
        <v>81</v>
      </c>
      <c r="B769" s="272" t="s">
        <v>10</v>
      </c>
      <c r="C769" s="273"/>
      <c r="D769" s="64">
        <v>0.36000000000000004</v>
      </c>
      <c r="E769" s="45" t="s">
        <v>38</v>
      </c>
      <c r="F769" s="46">
        <f>F753</f>
        <v>350000</v>
      </c>
      <c r="G769" s="149">
        <f t="shared" si="234"/>
        <v>126000.00000000001</v>
      </c>
      <c r="H769" s="535"/>
      <c r="I769" s="46">
        <v>257207.50000000003</v>
      </c>
      <c r="J769" s="560">
        <f t="shared" si="228"/>
        <v>92594.700000000026</v>
      </c>
      <c r="K769" s="560">
        <f t="shared" si="226"/>
        <v>136.07690288969022</v>
      </c>
      <c r="L769" s="528"/>
      <c r="M769" s="528"/>
    </row>
    <row r="770" spans="1:13" s="42" customFormat="1" ht="20.100000000000001" customHeight="1">
      <c r="A770" s="66">
        <f t="shared" si="235"/>
        <v>82</v>
      </c>
      <c r="B770" s="272" t="s">
        <v>50</v>
      </c>
      <c r="C770" s="273"/>
      <c r="D770" s="274">
        <v>3.08</v>
      </c>
      <c r="E770" s="45" t="s">
        <v>38</v>
      </c>
      <c r="F770" s="46">
        <f>F754</f>
        <v>900000</v>
      </c>
      <c r="G770" s="149">
        <f t="shared" si="234"/>
        <v>2772000</v>
      </c>
      <c r="H770" s="535"/>
      <c r="I770" s="46">
        <v>1120599.7000000002</v>
      </c>
      <c r="J770" s="560">
        <f t="shared" si="228"/>
        <v>3451447.0760000008</v>
      </c>
      <c r="K770" s="560">
        <f t="shared" si="226"/>
        <v>80.314138938284557</v>
      </c>
      <c r="L770" s="528"/>
      <c r="M770" s="528"/>
    </row>
    <row r="771" spans="1:13" s="42" customFormat="1" ht="20.100000000000001" customHeight="1">
      <c r="A771" s="66">
        <f t="shared" si="235"/>
        <v>83</v>
      </c>
      <c r="B771" s="280" t="s">
        <v>393</v>
      </c>
      <c r="C771" s="281"/>
      <c r="D771" s="282">
        <v>1.7600000000000002</v>
      </c>
      <c r="E771" s="81" t="s">
        <v>70</v>
      </c>
      <c r="F771" s="283">
        <v>4000000</v>
      </c>
      <c r="G771" s="149">
        <f t="shared" si="234"/>
        <v>7040000.0000000009</v>
      </c>
      <c r="H771" s="535"/>
      <c r="I771" s="541">
        <v>3997274.8703703703</v>
      </c>
      <c r="J771" s="560">
        <f t="shared" si="228"/>
        <v>7035203.7718518525</v>
      </c>
      <c r="K771" s="560">
        <f t="shared" si="226"/>
        <v>100.06817468695559</v>
      </c>
      <c r="L771" s="528"/>
      <c r="M771" s="528"/>
    </row>
    <row r="772" spans="1:13" s="42" customFormat="1" ht="20.100000000000001" customHeight="1">
      <c r="A772" s="66">
        <f t="shared" si="235"/>
        <v>84</v>
      </c>
      <c r="B772" s="272" t="s">
        <v>139</v>
      </c>
      <c r="C772" s="273"/>
      <c r="D772" s="274">
        <v>3.44</v>
      </c>
      <c r="E772" s="45" t="s">
        <v>38</v>
      </c>
      <c r="F772" s="46">
        <v>100000</v>
      </c>
      <c r="G772" s="149">
        <f t="shared" si="234"/>
        <v>344000</v>
      </c>
      <c r="H772" s="535"/>
      <c r="I772" s="46">
        <v>26381.666666666668</v>
      </c>
      <c r="J772" s="560">
        <f t="shared" si="228"/>
        <v>90752.933333333334</v>
      </c>
      <c r="K772" s="560">
        <f t="shared" si="226"/>
        <v>379.05110872449302</v>
      </c>
      <c r="L772" s="528"/>
      <c r="M772" s="528"/>
    </row>
    <row r="773" spans="1:13" s="42" customFormat="1" ht="20.100000000000001" customHeight="1">
      <c r="A773" s="221"/>
      <c r="B773" s="222"/>
      <c r="C773" s="218"/>
      <c r="D773" s="219"/>
      <c r="E773" s="220"/>
      <c r="F773" s="223"/>
      <c r="G773" s="224"/>
      <c r="H773" s="535"/>
      <c r="I773" s="528"/>
      <c r="J773" s="528"/>
      <c r="K773" s="528"/>
      <c r="L773" s="528"/>
      <c r="M773" s="528"/>
    </row>
    <row r="774" spans="1:13" ht="17.45" customHeight="1" thickBot="1">
      <c r="A774" s="234"/>
      <c r="B774" s="235"/>
      <c r="C774" s="236"/>
      <c r="D774" s="237"/>
      <c r="E774" s="238"/>
      <c r="F774" s="239"/>
      <c r="G774" s="240"/>
      <c r="I774" s="526"/>
      <c r="J774" s="526"/>
      <c r="K774" s="526"/>
      <c r="L774" s="526"/>
      <c r="M774" s="526"/>
    </row>
    <row r="775" spans="1:13" ht="17.45" customHeight="1" thickTop="1">
      <c r="G775" s="104"/>
      <c r="I775" s="526"/>
      <c r="J775" s="526"/>
      <c r="K775" s="526"/>
      <c r="L775" s="526"/>
      <c r="M775" s="526"/>
    </row>
    <row r="776" spans="1:13" ht="17.45" customHeight="1">
      <c r="G776" s="104"/>
      <c r="I776" s="526"/>
      <c r="J776" s="526"/>
      <c r="K776" s="526"/>
      <c r="L776" s="526"/>
      <c r="M776" s="526"/>
    </row>
    <row r="777" spans="1:13" ht="17.45" customHeight="1">
      <c r="G777" s="104"/>
      <c r="I777" s="526"/>
      <c r="J777" s="526"/>
      <c r="K777" s="526"/>
      <c r="L777" s="526"/>
      <c r="M777" s="526"/>
    </row>
    <row r="778" spans="1:13" ht="17.45" customHeight="1">
      <c r="G778" s="104"/>
      <c r="I778" s="526"/>
      <c r="J778" s="526"/>
      <c r="K778" s="526"/>
      <c r="L778" s="526"/>
      <c r="M778" s="526"/>
    </row>
    <row r="779" spans="1:13" ht="17.45" customHeight="1">
      <c r="G779" s="104"/>
      <c r="I779" s="526"/>
      <c r="J779" s="526"/>
      <c r="K779" s="526"/>
      <c r="L779" s="526"/>
      <c r="M779" s="526"/>
    </row>
    <row r="780" spans="1:13" ht="17.45" customHeight="1">
      <c r="G780" s="104"/>
      <c r="I780" s="526"/>
      <c r="J780" s="526"/>
      <c r="K780" s="526"/>
      <c r="L780" s="526"/>
      <c r="M780" s="526"/>
    </row>
    <row r="781" spans="1:13" ht="17.45" customHeight="1">
      <c r="I781" s="526"/>
      <c r="J781" s="526"/>
      <c r="K781" s="526"/>
      <c r="L781" s="526"/>
      <c r="M781" s="526"/>
    </row>
  </sheetData>
  <mergeCells count="35">
    <mergeCell ref="G7:G9"/>
    <mergeCell ref="B330:C330"/>
    <mergeCell ref="B332:C332"/>
    <mergeCell ref="B333:C333"/>
    <mergeCell ref="B26:C26"/>
    <mergeCell ref="B29:C29"/>
    <mergeCell ref="B32:C32"/>
    <mergeCell ref="B35:C35"/>
    <mergeCell ref="B36:C36"/>
    <mergeCell ref="B37:C37"/>
    <mergeCell ref="A7:A9"/>
    <mergeCell ref="B7:C9"/>
    <mergeCell ref="D7:E9"/>
    <mergeCell ref="F7:F9"/>
    <mergeCell ref="B331:C331"/>
    <mergeCell ref="B465:C465"/>
    <mergeCell ref="B707:C707"/>
    <mergeCell ref="B708:C708"/>
    <mergeCell ref="B709:C709"/>
    <mergeCell ref="B710:C710"/>
    <mergeCell ref="B472:C472"/>
    <mergeCell ref="B635:C635"/>
    <mergeCell ref="B652:C652"/>
    <mergeCell ref="B466:C466"/>
    <mergeCell ref="B473:C473"/>
    <mergeCell ref="B467:C467"/>
    <mergeCell ref="B468:C468"/>
    <mergeCell ref="B469:C469"/>
    <mergeCell ref="B470:C470"/>
    <mergeCell ref="B471:C471"/>
    <mergeCell ref="B711:C711"/>
    <mergeCell ref="B713:C713"/>
    <mergeCell ref="B714:C714"/>
    <mergeCell ref="B712:C712"/>
    <mergeCell ref="B732:C732"/>
  </mergeCells>
  <printOptions horizontalCentered="1"/>
  <pageMargins left="0.35433070866141736" right="0.11811023622047245" top="0.6692913385826772" bottom="0.31496062992125984" header="0.39370078740157483" footer="0.11811023622047245"/>
  <pageSetup paperSize="9" scale="51" orientation="portrait" horizontalDpi="4294967292" r:id="rId1"/>
  <headerFooter alignWithMargins="0">
    <oddFooter>&amp;L&amp;8INFRASTRUKTUR&amp;R&amp;8&amp;P/&amp;N</oddFooter>
  </headerFooter>
  <rowBreaks count="5" manualBreakCount="5">
    <brk id="70" max="10" man="1"/>
    <brk id="582" max="10" man="1"/>
    <brk id="651" max="10" man="1"/>
    <brk id="710" max="10" man="1"/>
    <brk id="77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7"/>
  <sheetViews>
    <sheetView view="pageBreakPreview" zoomScale="108" zoomScaleNormal="100" zoomScaleSheetLayoutView="108" workbookViewId="0">
      <selection activeCell="C10" sqref="C10"/>
    </sheetView>
  </sheetViews>
  <sheetFormatPr defaultColWidth="8.85546875" defaultRowHeight="15"/>
  <cols>
    <col min="1" max="1" width="4.85546875" style="502" customWidth="1"/>
    <col min="2" max="2" width="45.7109375" style="502" customWidth="1"/>
    <col min="3" max="3" width="23.7109375" style="502" customWidth="1"/>
    <col min="4" max="16384" width="8.85546875" style="502"/>
  </cols>
  <sheetData>
    <row r="1" spans="1:6" ht="85.9" customHeight="1"/>
    <row r="2" spans="1:6" ht="18.75">
      <c r="A2" s="611" t="s">
        <v>561</v>
      </c>
      <c r="B2" s="611"/>
      <c r="C2" s="611"/>
    </row>
    <row r="3" spans="1:6">
      <c r="A3" s="612" t="s">
        <v>483</v>
      </c>
      <c r="B3" s="612"/>
      <c r="C3" s="612"/>
    </row>
    <row r="4" spans="1:6">
      <c r="A4" s="612" t="s">
        <v>562</v>
      </c>
      <c r="B4" s="612"/>
      <c r="C4" s="612"/>
    </row>
    <row r="5" spans="1:6" ht="15.75">
      <c r="A5" s="612" t="s">
        <v>589</v>
      </c>
      <c r="B5" s="612"/>
      <c r="C5" s="612"/>
      <c r="D5" s="439"/>
      <c r="E5" s="439"/>
      <c r="F5" s="439"/>
    </row>
    <row r="6" spans="1:6">
      <c r="A6" s="612" t="s">
        <v>485</v>
      </c>
      <c r="B6" s="612"/>
      <c r="C6" s="612"/>
    </row>
    <row r="7" spans="1:6">
      <c r="A7" s="503"/>
      <c r="B7" s="503"/>
      <c r="C7" s="503"/>
    </row>
    <row r="8" spans="1:6" ht="15.75">
      <c r="A8" s="504" t="s">
        <v>6</v>
      </c>
      <c r="B8" s="504" t="s">
        <v>563</v>
      </c>
      <c r="C8" s="505" t="s">
        <v>564</v>
      </c>
    </row>
    <row r="9" spans="1:6" ht="20.100000000000001" customHeight="1">
      <c r="A9" s="506" t="s">
        <v>248</v>
      </c>
      <c r="B9" s="507" t="s">
        <v>565</v>
      </c>
      <c r="C9" s="508">
        <f>'A. elektrikal'!F105</f>
        <v>665356100</v>
      </c>
    </row>
    <row r="10" spans="1:6" ht="20.100000000000001" customHeight="1">
      <c r="A10" s="509" t="s">
        <v>249</v>
      </c>
      <c r="B10" s="510" t="s">
        <v>566</v>
      </c>
      <c r="C10" s="511">
        <f>'B. Plumbing'!F117</f>
        <v>282448000</v>
      </c>
    </row>
    <row r="11" spans="1:6" ht="20.100000000000001" customHeight="1">
      <c r="A11" s="512"/>
      <c r="B11" s="513"/>
      <c r="C11" s="514"/>
    </row>
    <row r="12" spans="1:6">
      <c r="A12" s="515"/>
      <c r="B12" s="516" t="s">
        <v>567</v>
      </c>
      <c r="C12" s="517">
        <f>SUM(C9:C11)</f>
        <v>947804100</v>
      </c>
    </row>
    <row r="14" spans="1:6">
      <c r="C14" s="518"/>
    </row>
    <row r="15" spans="1:6">
      <c r="C15" s="518"/>
    </row>
    <row r="16" spans="1:6">
      <c r="C16" s="518"/>
    </row>
    <row r="17" spans="3:3">
      <c r="C17" s="518"/>
    </row>
  </sheetData>
  <mergeCells count="5"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105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110"/>
  <sheetViews>
    <sheetView view="pageBreakPreview" topLeftCell="A85" zoomScale="90" zoomScaleNormal="62" zoomScaleSheetLayoutView="90" workbookViewId="0">
      <selection activeCell="F104" sqref="F104"/>
    </sheetView>
  </sheetViews>
  <sheetFormatPr defaultColWidth="9" defaultRowHeight="18" customHeight="1"/>
  <cols>
    <col min="1" max="1" width="6.7109375" style="441" customWidth="1"/>
    <col min="2" max="2" width="83.7109375" style="442" bestFit="1" customWidth="1"/>
    <col min="3" max="3" width="11" style="501" customWidth="1"/>
    <col min="4" max="4" width="6.85546875" style="444" customWidth="1"/>
    <col min="5" max="5" width="21.7109375" style="445" customWidth="1"/>
    <col min="6" max="6" width="24.85546875" style="445" bestFit="1" customWidth="1"/>
    <col min="7" max="7" width="9" style="442" customWidth="1"/>
    <col min="8" max="16384" width="9" style="442"/>
  </cols>
  <sheetData>
    <row r="1" spans="1:6" ht="92.65" customHeight="1"/>
    <row r="2" spans="1:6" s="438" customFormat="1" ht="15.75">
      <c r="A2" s="613" t="s">
        <v>483</v>
      </c>
      <c r="B2" s="613"/>
      <c r="C2" s="613"/>
      <c r="D2" s="613"/>
      <c r="E2" s="613"/>
      <c r="F2" s="613"/>
    </row>
    <row r="3" spans="1:6" s="438" customFormat="1" ht="13.7" customHeight="1">
      <c r="A3" s="613" t="s">
        <v>484</v>
      </c>
      <c r="B3" s="613"/>
      <c r="C3" s="613"/>
      <c r="D3" s="613"/>
      <c r="E3" s="613"/>
      <c r="F3" s="613"/>
    </row>
    <row r="4" spans="1:6" s="438" customFormat="1" ht="18" customHeight="1">
      <c r="A4" s="439" t="s">
        <v>589</v>
      </c>
      <c r="B4" s="440"/>
      <c r="C4" s="440"/>
      <c r="D4" s="612"/>
      <c r="E4" s="612"/>
      <c r="F4" s="612"/>
    </row>
    <row r="5" spans="1:6" s="438" customFormat="1" ht="18" customHeight="1">
      <c r="A5" s="613" t="s">
        <v>485</v>
      </c>
      <c r="B5" s="613"/>
      <c r="C5" s="613"/>
      <c r="D5" s="613"/>
      <c r="E5" s="613"/>
      <c r="F5" s="613"/>
    </row>
    <row r="6" spans="1:6" ht="18" customHeight="1">
      <c r="C6" s="443"/>
    </row>
    <row r="7" spans="1:6" s="449" customFormat="1" ht="31.7" customHeight="1">
      <c r="A7" s="446" t="s">
        <v>6</v>
      </c>
      <c r="B7" s="447" t="s">
        <v>247</v>
      </c>
      <c r="C7" s="614" t="s">
        <v>408</v>
      </c>
      <c r="D7" s="615"/>
      <c r="E7" s="448" t="s">
        <v>409</v>
      </c>
      <c r="F7" s="448" t="s">
        <v>410</v>
      </c>
    </row>
    <row r="8" spans="1:6" s="438" customFormat="1" ht="93" customHeight="1">
      <c r="A8" s="450"/>
      <c r="B8" s="451" t="s">
        <v>587</v>
      </c>
      <c r="C8" s="452"/>
      <c r="D8" s="453"/>
      <c r="E8" s="454"/>
      <c r="F8" s="455"/>
    </row>
    <row r="9" spans="1:6" ht="18" customHeight="1">
      <c r="A9" s="456"/>
      <c r="B9" s="457"/>
      <c r="C9" s="458"/>
      <c r="D9" s="459"/>
      <c r="E9" s="460"/>
      <c r="F9" s="460"/>
    </row>
    <row r="10" spans="1:6" ht="18" customHeight="1">
      <c r="A10" s="456" t="s">
        <v>248</v>
      </c>
      <c r="B10" s="457" t="s">
        <v>486</v>
      </c>
      <c r="C10" s="458"/>
      <c r="D10" s="459"/>
      <c r="E10" s="461"/>
      <c r="F10" s="460"/>
    </row>
    <row r="11" spans="1:6" ht="18" customHeight="1">
      <c r="A11" s="462">
        <v>1</v>
      </c>
      <c r="B11" s="463" t="s">
        <v>487</v>
      </c>
      <c r="C11" s="530">
        <v>1</v>
      </c>
      <c r="D11" s="459" t="s">
        <v>15</v>
      </c>
      <c r="E11" s="461">
        <f>41500*1300</f>
        <v>53950000</v>
      </c>
      <c r="F11" s="460">
        <f t="shared" ref="F11:F24" si="0">C11*E11</f>
        <v>53950000</v>
      </c>
    </row>
    <row r="12" spans="1:6" ht="18" customHeight="1">
      <c r="A12" s="462"/>
      <c r="B12" s="463" t="s">
        <v>488</v>
      </c>
      <c r="C12" s="530"/>
      <c r="D12" s="459"/>
      <c r="E12" s="461"/>
      <c r="F12" s="460"/>
    </row>
    <row r="13" spans="1:6" ht="18" customHeight="1">
      <c r="A13" s="462"/>
      <c r="B13" s="463" t="s">
        <v>489</v>
      </c>
      <c r="C13" s="530"/>
      <c r="D13" s="459"/>
      <c r="E13" s="461"/>
      <c r="F13" s="460"/>
    </row>
    <row r="14" spans="1:6" ht="18" customHeight="1">
      <c r="A14" s="462"/>
      <c r="B14" s="464" t="s">
        <v>490</v>
      </c>
      <c r="C14" s="530"/>
      <c r="D14" s="459"/>
      <c r="E14" s="461"/>
      <c r="F14" s="460"/>
    </row>
    <row r="15" spans="1:6" ht="18" customHeight="1">
      <c r="A15" s="462"/>
      <c r="B15" s="464" t="s">
        <v>491</v>
      </c>
      <c r="C15" s="530"/>
      <c r="D15" s="459"/>
      <c r="E15" s="461"/>
      <c r="F15" s="460"/>
    </row>
    <row r="16" spans="1:6" ht="18" customHeight="1">
      <c r="A16" s="462"/>
      <c r="B16" s="464" t="s">
        <v>492</v>
      </c>
      <c r="C16" s="530"/>
      <c r="D16" s="459"/>
      <c r="E16" s="461"/>
      <c r="F16" s="460"/>
    </row>
    <row r="17" spans="1:6" ht="18" customHeight="1">
      <c r="A17" s="462"/>
      <c r="B17" s="464" t="s">
        <v>493</v>
      </c>
      <c r="C17" s="530"/>
      <c r="D17" s="459"/>
      <c r="E17" s="461"/>
      <c r="F17" s="460"/>
    </row>
    <row r="18" spans="1:6" ht="18" customHeight="1">
      <c r="A18" s="462"/>
      <c r="B18" s="464" t="s">
        <v>494</v>
      </c>
      <c r="C18" s="530"/>
      <c r="D18" s="459"/>
      <c r="E18" s="461"/>
      <c r="F18" s="460"/>
    </row>
    <row r="19" spans="1:6" ht="18" customHeight="1">
      <c r="A19" s="462"/>
      <c r="B19" s="464" t="s">
        <v>495</v>
      </c>
      <c r="C19" s="530"/>
      <c r="D19" s="459"/>
      <c r="E19" s="461"/>
      <c r="F19" s="460"/>
    </row>
    <row r="20" spans="1:6" ht="18" customHeight="1">
      <c r="A20" s="462"/>
      <c r="B20" s="464" t="s">
        <v>496</v>
      </c>
      <c r="C20" s="530"/>
      <c r="D20" s="459"/>
      <c r="E20" s="461"/>
      <c r="F20" s="460"/>
    </row>
    <row r="21" spans="1:6" ht="18" customHeight="1">
      <c r="A21" s="462"/>
      <c r="B21" s="463"/>
      <c r="C21" s="530"/>
      <c r="D21" s="459"/>
      <c r="E21" s="461"/>
      <c r="F21" s="460"/>
    </row>
    <row r="22" spans="1:6" s="465" customFormat="1" ht="18" customHeight="1">
      <c r="A22" s="462">
        <f>A11+1</f>
        <v>2</v>
      </c>
      <c r="B22" s="463" t="s">
        <v>497</v>
      </c>
      <c r="C22" s="530">
        <v>1</v>
      </c>
      <c r="D22" s="459" t="s">
        <v>4</v>
      </c>
      <c r="E22" s="461">
        <v>8000000</v>
      </c>
      <c r="F22" s="460">
        <f t="shared" si="0"/>
        <v>8000000</v>
      </c>
    </row>
    <row r="23" spans="1:6" s="465" customFormat="1" ht="18" customHeight="1">
      <c r="A23" s="462">
        <f>A22+1</f>
        <v>3</v>
      </c>
      <c r="B23" s="463" t="s">
        <v>498</v>
      </c>
      <c r="C23" s="530">
        <v>1</v>
      </c>
      <c r="D23" s="459" t="s">
        <v>4</v>
      </c>
      <c r="E23" s="461">
        <f>E22</f>
        <v>8000000</v>
      </c>
      <c r="F23" s="460">
        <f t="shared" si="0"/>
        <v>8000000</v>
      </c>
    </row>
    <row r="24" spans="1:6" s="465" customFormat="1" ht="18" customHeight="1">
      <c r="A24" s="462">
        <f t="shared" ref="A24:A33" si="1">A23+1</f>
        <v>4</v>
      </c>
      <c r="B24" s="463" t="s">
        <v>499</v>
      </c>
      <c r="C24" s="530">
        <v>1</v>
      </c>
      <c r="D24" s="459" t="s">
        <v>4</v>
      </c>
      <c r="E24" s="461">
        <f>E23</f>
        <v>8000000</v>
      </c>
      <c r="F24" s="460">
        <f t="shared" si="0"/>
        <v>8000000</v>
      </c>
    </row>
    <row r="25" spans="1:6" s="465" customFormat="1" ht="18" customHeight="1">
      <c r="A25" s="462">
        <f t="shared" si="1"/>
        <v>5</v>
      </c>
      <c r="B25" s="463" t="s">
        <v>500</v>
      </c>
      <c r="C25" s="530"/>
      <c r="D25" s="459"/>
      <c r="E25" s="461"/>
      <c r="F25" s="460"/>
    </row>
    <row r="26" spans="1:6" ht="18" customHeight="1">
      <c r="A26" s="462">
        <f t="shared" si="1"/>
        <v>6</v>
      </c>
      <c r="B26" s="463" t="s">
        <v>501</v>
      </c>
      <c r="C26" s="530"/>
      <c r="D26" s="459"/>
      <c r="E26" s="461"/>
      <c r="F26" s="460"/>
    </row>
    <row r="27" spans="1:6" ht="18" customHeight="1">
      <c r="A27" s="462">
        <f t="shared" si="1"/>
        <v>7</v>
      </c>
      <c r="B27" s="463" t="s">
        <v>502</v>
      </c>
      <c r="C27" s="530">
        <v>1</v>
      </c>
      <c r="D27" s="459" t="s">
        <v>4</v>
      </c>
      <c r="E27" s="461">
        <f>E24</f>
        <v>8000000</v>
      </c>
      <c r="F27" s="460">
        <f t="shared" ref="F27:F33" si="2">C27*E27</f>
        <v>8000000</v>
      </c>
    </row>
    <row r="28" spans="1:6" ht="18" customHeight="1">
      <c r="A28" s="462">
        <f t="shared" si="1"/>
        <v>8</v>
      </c>
      <c r="B28" s="463" t="s">
        <v>503</v>
      </c>
      <c r="C28" s="530">
        <v>1</v>
      </c>
      <c r="D28" s="459" t="s">
        <v>4</v>
      </c>
      <c r="E28" s="461">
        <v>10000000</v>
      </c>
      <c r="F28" s="460">
        <f t="shared" si="2"/>
        <v>10000000</v>
      </c>
    </row>
    <row r="29" spans="1:6" ht="18" customHeight="1">
      <c r="A29" s="462">
        <f t="shared" si="1"/>
        <v>9</v>
      </c>
      <c r="B29" s="463" t="s">
        <v>504</v>
      </c>
      <c r="C29" s="530">
        <v>1</v>
      </c>
      <c r="D29" s="459" t="s">
        <v>4</v>
      </c>
      <c r="E29" s="461">
        <f>E28</f>
        <v>10000000</v>
      </c>
      <c r="F29" s="460">
        <f t="shared" si="2"/>
        <v>10000000</v>
      </c>
    </row>
    <row r="30" spans="1:6" ht="18" customHeight="1">
      <c r="A30" s="462">
        <f t="shared" si="1"/>
        <v>10</v>
      </c>
      <c r="B30" s="466" t="s">
        <v>505</v>
      </c>
      <c r="C30" s="530">
        <v>1</v>
      </c>
      <c r="D30" s="459" t="s">
        <v>4</v>
      </c>
      <c r="E30" s="461">
        <v>6000000</v>
      </c>
      <c r="F30" s="460">
        <f t="shared" si="2"/>
        <v>6000000</v>
      </c>
    </row>
    <row r="31" spans="1:6" ht="18" customHeight="1">
      <c r="A31" s="462">
        <f t="shared" si="1"/>
        <v>11</v>
      </c>
      <c r="B31" s="466" t="s">
        <v>506</v>
      </c>
      <c r="C31" s="530">
        <v>1</v>
      </c>
      <c r="D31" s="459" t="s">
        <v>4</v>
      </c>
      <c r="E31" s="461">
        <f>E30</f>
        <v>6000000</v>
      </c>
      <c r="F31" s="460">
        <f t="shared" si="2"/>
        <v>6000000</v>
      </c>
    </row>
    <row r="32" spans="1:6" ht="18" customHeight="1">
      <c r="A32" s="462">
        <f t="shared" si="1"/>
        <v>12</v>
      </c>
      <c r="B32" s="466" t="s">
        <v>507</v>
      </c>
      <c r="C32" s="530">
        <v>1</v>
      </c>
      <c r="D32" s="459" t="s">
        <v>4</v>
      </c>
      <c r="E32" s="461">
        <v>3000000</v>
      </c>
      <c r="F32" s="460">
        <f t="shared" si="2"/>
        <v>3000000</v>
      </c>
    </row>
    <row r="33" spans="1:6" ht="18" customHeight="1">
      <c r="A33" s="462">
        <f t="shared" si="1"/>
        <v>13</v>
      </c>
      <c r="B33" s="466" t="s">
        <v>508</v>
      </c>
      <c r="C33" s="531">
        <v>1</v>
      </c>
      <c r="D33" s="467" t="s">
        <v>11</v>
      </c>
      <c r="E33" s="468">
        <v>8500000</v>
      </c>
      <c r="F33" s="469">
        <f t="shared" si="2"/>
        <v>8500000</v>
      </c>
    </row>
    <row r="34" spans="1:6" ht="18" customHeight="1">
      <c r="A34" s="470"/>
      <c r="B34" s="466"/>
      <c r="C34" s="531"/>
      <c r="D34" s="467"/>
      <c r="E34" s="468"/>
      <c r="F34" s="469"/>
    </row>
    <row r="35" spans="1:6" ht="18" customHeight="1">
      <c r="A35" s="471"/>
      <c r="B35" s="472"/>
      <c r="C35" s="532"/>
      <c r="D35" s="474"/>
      <c r="E35" s="475" t="s">
        <v>509</v>
      </c>
      <c r="F35" s="476">
        <f>SUM(F9:F34)</f>
        <v>129450000</v>
      </c>
    </row>
    <row r="36" spans="1:6" ht="18" customHeight="1">
      <c r="A36" s="477"/>
      <c r="B36" s="478"/>
      <c r="C36" s="533"/>
      <c r="D36" s="479"/>
      <c r="E36" s="480"/>
      <c r="F36" s="481"/>
    </row>
    <row r="37" spans="1:6" ht="18" customHeight="1">
      <c r="A37" s="456" t="s">
        <v>249</v>
      </c>
      <c r="B37" s="457" t="s">
        <v>510</v>
      </c>
      <c r="C37" s="530"/>
      <c r="D37" s="459"/>
      <c r="E37" s="461"/>
      <c r="F37" s="460"/>
    </row>
    <row r="38" spans="1:6" ht="18" customHeight="1">
      <c r="A38" s="462">
        <v>1</v>
      </c>
      <c r="B38" s="482" t="s">
        <v>511</v>
      </c>
      <c r="C38" s="530">
        <v>10</v>
      </c>
      <c r="D38" s="459" t="s">
        <v>512</v>
      </c>
      <c r="E38" s="461">
        <f>575000*1.25</f>
        <v>718750</v>
      </c>
      <c r="F38" s="460">
        <f t="shared" ref="F38:F50" si="3">C38*E38</f>
        <v>7187500</v>
      </c>
    </row>
    <row r="39" spans="1:6" ht="18" customHeight="1">
      <c r="A39" s="462">
        <f>A38+1</f>
        <v>2</v>
      </c>
      <c r="B39" s="482" t="s">
        <v>513</v>
      </c>
      <c r="C39" s="530">
        <v>150</v>
      </c>
      <c r="D39" s="459" t="s">
        <v>512</v>
      </c>
      <c r="E39" s="461">
        <f>85000*1.35</f>
        <v>114750.00000000001</v>
      </c>
      <c r="F39" s="460">
        <f t="shared" si="3"/>
        <v>17212500.000000004</v>
      </c>
    </row>
    <row r="40" spans="1:6" ht="18" customHeight="1">
      <c r="A40" s="462">
        <f t="shared" ref="A40:A59" si="4">A39+1</f>
        <v>3</v>
      </c>
      <c r="B40" s="482" t="s">
        <v>514</v>
      </c>
      <c r="C40" s="530">
        <v>70</v>
      </c>
      <c r="D40" s="459" t="s">
        <v>512</v>
      </c>
      <c r="E40" s="461">
        <f>150000*1.4</f>
        <v>210000</v>
      </c>
      <c r="F40" s="460">
        <f t="shared" si="3"/>
        <v>14700000</v>
      </c>
    </row>
    <row r="41" spans="1:6" ht="18" customHeight="1">
      <c r="A41" s="462">
        <f t="shared" si="4"/>
        <v>4</v>
      </c>
      <c r="B41" s="482" t="s">
        <v>515</v>
      </c>
      <c r="C41" s="530">
        <v>79</v>
      </c>
      <c r="D41" s="459" t="s">
        <v>512</v>
      </c>
      <c r="E41" s="461">
        <f>E39</f>
        <v>114750.00000000001</v>
      </c>
      <c r="F41" s="460">
        <f t="shared" si="3"/>
        <v>9065250.0000000019</v>
      </c>
    </row>
    <row r="42" spans="1:6" ht="18" customHeight="1">
      <c r="A42" s="462">
        <f t="shared" si="4"/>
        <v>5</v>
      </c>
      <c r="B42" s="482" t="s">
        <v>516</v>
      </c>
      <c r="C42" s="530">
        <v>73</v>
      </c>
      <c r="D42" s="459" t="s">
        <v>512</v>
      </c>
      <c r="E42" s="461">
        <f>E41</f>
        <v>114750.00000000001</v>
      </c>
      <c r="F42" s="460">
        <f t="shared" si="3"/>
        <v>8376750.0000000009</v>
      </c>
    </row>
    <row r="43" spans="1:6" ht="18" customHeight="1">
      <c r="A43" s="462">
        <f t="shared" si="4"/>
        <v>6</v>
      </c>
      <c r="B43" s="482" t="s">
        <v>517</v>
      </c>
      <c r="C43" s="530">
        <v>65</v>
      </c>
      <c r="D43" s="459" t="s">
        <v>512</v>
      </c>
      <c r="E43" s="461">
        <f>(3500000/100)*1.4</f>
        <v>49000</v>
      </c>
      <c r="F43" s="460">
        <f t="shared" si="3"/>
        <v>3185000</v>
      </c>
    </row>
    <row r="44" spans="1:6" ht="18" customHeight="1">
      <c r="A44" s="462">
        <f>A43+1</f>
        <v>7</v>
      </c>
      <c r="B44" s="482" t="s">
        <v>518</v>
      </c>
      <c r="C44" s="530">
        <v>152</v>
      </c>
      <c r="D44" s="459" t="s">
        <v>512</v>
      </c>
      <c r="E44" s="461">
        <f>E42</f>
        <v>114750.00000000001</v>
      </c>
      <c r="F44" s="460">
        <f t="shared" si="3"/>
        <v>17442000.000000004</v>
      </c>
    </row>
    <row r="45" spans="1:6" ht="18" customHeight="1">
      <c r="A45" s="462">
        <f t="shared" si="4"/>
        <v>8</v>
      </c>
      <c r="B45" s="482" t="s">
        <v>519</v>
      </c>
      <c r="C45" s="530">
        <v>166</v>
      </c>
      <c r="D45" s="459" t="s">
        <v>512</v>
      </c>
      <c r="E45" s="461">
        <f>E44</f>
        <v>114750.00000000001</v>
      </c>
      <c r="F45" s="460">
        <f>C45*E45</f>
        <v>19048500.000000004</v>
      </c>
    </row>
    <row r="46" spans="1:6" ht="18" customHeight="1">
      <c r="A46" s="462">
        <f t="shared" si="4"/>
        <v>9</v>
      </c>
      <c r="B46" s="482" t="s">
        <v>520</v>
      </c>
      <c r="C46" s="530">
        <v>180</v>
      </c>
      <c r="D46" s="459" t="s">
        <v>512</v>
      </c>
      <c r="E46" s="461">
        <f>E45</f>
        <v>114750.00000000001</v>
      </c>
      <c r="F46" s="460">
        <f t="shared" si="3"/>
        <v>20655000.000000004</v>
      </c>
    </row>
    <row r="47" spans="1:6" ht="18" customHeight="1">
      <c r="A47" s="462">
        <f t="shared" si="4"/>
        <v>10</v>
      </c>
      <c r="B47" s="482" t="s">
        <v>521</v>
      </c>
      <c r="C47" s="530">
        <v>90</v>
      </c>
      <c r="D47" s="459" t="s">
        <v>512</v>
      </c>
      <c r="E47" s="461">
        <f>E43</f>
        <v>49000</v>
      </c>
      <c r="F47" s="460">
        <f t="shared" si="3"/>
        <v>4410000</v>
      </c>
    </row>
    <row r="48" spans="1:6" ht="18" customHeight="1">
      <c r="A48" s="462">
        <f t="shared" si="4"/>
        <v>11</v>
      </c>
      <c r="B48" s="482" t="s">
        <v>522</v>
      </c>
      <c r="C48" s="530">
        <v>184</v>
      </c>
      <c r="D48" s="459" t="s">
        <v>512</v>
      </c>
      <c r="E48" s="461">
        <f>E46</f>
        <v>114750.00000000001</v>
      </c>
      <c r="F48" s="460">
        <f t="shared" si="3"/>
        <v>21114000.000000004</v>
      </c>
    </row>
    <row r="49" spans="1:6" ht="18" customHeight="1">
      <c r="A49" s="462">
        <f t="shared" si="4"/>
        <v>12</v>
      </c>
      <c r="B49" s="482" t="s">
        <v>523</v>
      </c>
      <c r="C49" s="530">
        <v>18</v>
      </c>
      <c r="D49" s="459" t="s">
        <v>512</v>
      </c>
      <c r="E49" s="461">
        <f>E47*3</f>
        <v>147000</v>
      </c>
      <c r="F49" s="460">
        <f t="shared" si="3"/>
        <v>2646000</v>
      </c>
    </row>
    <row r="50" spans="1:6" ht="18" customHeight="1">
      <c r="A50" s="462">
        <f t="shared" si="4"/>
        <v>13</v>
      </c>
      <c r="B50" s="482" t="s">
        <v>524</v>
      </c>
      <c r="C50" s="530">
        <v>10</v>
      </c>
      <c r="D50" s="459" t="s">
        <v>512</v>
      </c>
      <c r="E50" s="461">
        <f>E49</f>
        <v>147000</v>
      </c>
      <c r="F50" s="460">
        <f t="shared" si="3"/>
        <v>1470000</v>
      </c>
    </row>
    <row r="51" spans="1:6" ht="18" customHeight="1">
      <c r="A51" s="462">
        <f t="shared" si="4"/>
        <v>14</v>
      </c>
      <c r="B51" s="482" t="s">
        <v>525</v>
      </c>
      <c r="C51" s="530"/>
      <c r="D51" s="459"/>
      <c r="E51" s="461"/>
      <c r="F51" s="460"/>
    </row>
    <row r="52" spans="1:6" ht="18" customHeight="1">
      <c r="A52" s="462">
        <f t="shared" si="4"/>
        <v>15</v>
      </c>
      <c r="B52" s="482" t="s">
        <v>526</v>
      </c>
      <c r="C52" s="530"/>
      <c r="D52" s="459"/>
      <c r="E52" s="461"/>
      <c r="F52" s="460"/>
    </row>
    <row r="53" spans="1:6" ht="18" customHeight="1">
      <c r="A53" s="462">
        <f t="shared" si="4"/>
        <v>16</v>
      </c>
      <c r="B53" s="482" t="s">
        <v>527</v>
      </c>
      <c r="C53" s="530">
        <v>8</v>
      </c>
      <c r="D53" s="459" t="s">
        <v>512</v>
      </c>
      <c r="E53" s="461">
        <f>E50</f>
        <v>147000</v>
      </c>
      <c r="F53" s="460">
        <f t="shared" ref="F53:F58" si="5">C53*E53</f>
        <v>1176000</v>
      </c>
    </row>
    <row r="54" spans="1:6" ht="18" customHeight="1">
      <c r="A54" s="462">
        <f t="shared" si="4"/>
        <v>17</v>
      </c>
      <c r="B54" s="482" t="s">
        <v>528</v>
      </c>
      <c r="C54" s="530">
        <v>65</v>
      </c>
      <c r="D54" s="459" t="s">
        <v>512</v>
      </c>
      <c r="E54" s="461">
        <f>(35000+10000)*1.2</f>
        <v>54000</v>
      </c>
      <c r="F54" s="460">
        <f t="shared" si="5"/>
        <v>3510000</v>
      </c>
    </row>
    <row r="55" spans="1:6" ht="18" customHeight="1">
      <c r="A55" s="462">
        <f t="shared" si="4"/>
        <v>18</v>
      </c>
      <c r="B55" s="482" t="s">
        <v>529</v>
      </c>
      <c r="C55" s="530">
        <v>50</v>
      </c>
      <c r="D55" s="459" t="s">
        <v>512</v>
      </c>
      <c r="E55" s="461">
        <f>E54</f>
        <v>54000</v>
      </c>
      <c r="F55" s="460">
        <f t="shared" si="5"/>
        <v>2700000</v>
      </c>
    </row>
    <row r="56" spans="1:6" ht="18" customHeight="1">
      <c r="A56" s="462">
        <f t="shared" si="4"/>
        <v>19</v>
      </c>
      <c r="B56" s="482" t="s">
        <v>530</v>
      </c>
      <c r="C56" s="530">
        <v>29</v>
      </c>
      <c r="D56" s="459" t="s">
        <v>512</v>
      </c>
      <c r="E56" s="461">
        <f t="shared" ref="E56:E58" si="6">E55</f>
        <v>54000</v>
      </c>
      <c r="F56" s="460">
        <f t="shared" si="5"/>
        <v>1566000</v>
      </c>
    </row>
    <row r="57" spans="1:6" ht="18" customHeight="1">
      <c r="A57" s="462">
        <f t="shared" si="4"/>
        <v>20</v>
      </c>
      <c r="B57" s="482" t="s">
        <v>531</v>
      </c>
      <c r="C57" s="530">
        <v>20</v>
      </c>
      <c r="D57" s="459" t="s">
        <v>512</v>
      </c>
      <c r="E57" s="461">
        <f t="shared" si="6"/>
        <v>54000</v>
      </c>
      <c r="F57" s="460">
        <f t="shared" si="5"/>
        <v>1080000</v>
      </c>
    </row>
    <row r="58" spans="1:6" ht="18" customHeight="1">
      <c r="A58" s="462">
        <f t="shared" si="4"/>
        <v>21</v>
      </c>
      <c r="B58" s="482" t="s">
        <v>532</v>
      </c>
      <c r="C58" s="530">
        <v>31</v>
      </c>
      <c r="D58" s="459" t="s">
        <v>512</v>
      </c>
      <c r="E58" s="461">
        <f t="shared" si="6"/>
        <v>54000</v>
      </c>
      <c r="F58" s="460">
        <f t="shared" si="5"/>
        <v>1674000</v>
      </c>
    </row>
    <row r="59" spans="1:6" ht="18" customHeight="1">
      <c r="A59" s="462">
        <f t="shared" si="4"/>
        <v>22</v>
      </c>
      <c r="B59" s="463" t="s">
        <v>533</v>
      </c>
      <c r="C59" s="530"/>
      <c r="D59" s="459"/>
      <c r="E59" s="461"/>
      <c r="F59" s="460"/>
    </row>
    <row r="60" spans="1:6" ht="18" customHeight="1">
      <c r="A60" s="462"/>
      <c r="B60" s="463" t="s">
        <v>534</v>
      </c>
      <c r="C60" s="530"/>
      <c r="D60" s="459"/>
      <c r="E60" s="461"/>
      <c r="F60" s="460"/>
    </row>
    <row r="61" spans="1:6" ht="18" customHeight="1">
      <c r="A61" s="462"/>
      <c r="B61" s="464" t="s">
        <v>535</v>
      </c>
      <c r="C61" s="530">
        <v>1</v>
      </c>
      <c r="D61" s="459" t="s">
        <v>439</v>
      </c>
      <c r="E61" s="461">
        <v>4000000</v>
      </c>
      <c r="F61" s="460">
        <f t="shared" ref="F61" si="7">C61*E61</f>
        <v>4000000</v>
      </c>
    </row>
    <row r="62" spans="1:6" ht="18" customHeight="1">
      <c r="A62" s="470"/>
      <c r="B62" s="466"/>
      <c r="C62" s="534"/>
      <c r="D62" s="483"/>
      <c r="E62" s="484"/>
      <c r="F62" s="485"/>
    </row>
    <row r="63" spans="1:6" ht="18" customHeight="1">
      <c r="A63" s="471"/>
      <c r="B63" s="472"/>
      <c r="C63" s="532"/>
      <c r="D63" s="474"/>
      <c r="E63" s="475" t="s">
        <v>536</v>
      </c>
      <c r="F63" s="476">
        <f>SUM(F37:F62)</f>
        <v>162218500</v>
      </c>
    </row>
    <row r="64" spans="1:6" ht="18" customHeight="1">
      <c r="A64" s="477"/>
      <c r="B64" s="478"/>
      <c r="C64" s="533"/>
      <c r="D64" s="479"/>
      <c r="E64" s="480"/>
      <c r="F64" s="481"/>
    </row>
    <row r="65" spans="1:6" ht="18" customHeight="1">
      <c r="A65" s="456" t="s">
        <v>250</v>
      </c>
      <c r="B65" s="457" t="s">
        <v>537</v>
      </c>
      <c r="C65" s="530"/>
      <c r="D65" s="459"/>
      <c r="E65" s="461"/>
      <c r="F65" s="460"/>
    </row>
    <row r="66" spans="1:6" ht="18" customHeight="1">
      <c r="A66" s="462"/>
      <c r="B66" s="457" t="s">
        <v>413</v>
      </c>
      <c r="C66" s="530"/>
      <c r="D66" s="459"/>
      <c r="E66" s="461"/>
      <c r="F66" s="460"/>
    </row>
    <row r="67" spans="1:6" ht="18" customHeight="1">
      <c r="A67" s="462">
        <v>1</v>
      </c>
      <c r="B67" s="463" t="s">
        <v>538</v>
      </c>
      <c r="C67" s="530">
        <v>6</v>
      </c>
      <c r="D67" s="459" t="s">
        <v>9</v>
      </c>
      <c r="E67" s="461">
        <v>250000</v>
      </c>
      <c r="F67" s="460">
        <f t="shared" ref="F67:F73" si="8">C67*E67</f>
        <v>1500000</v>
      </c>
    </row>
    <row r="68" spans="1:6" ht="18" customHeight="1">
      <c r="A68" s="462">
        <f>A67+1</f>
        <v>2</v>
      </c>
      <c r="B68" s="463" t="s">
        <v>539</v>
      </c>
      <c r="C68" s="530">
        <v>16</v>
      </c>
      <c r="D68" s="459" t="s">
        <v>9</v>
      </c>
      <c r="E68" s="461">
        <v>200000</v>
      </c>
      <c r="F68" s="460">
        <f t="shared" si="8"/>
        <v>3200000</v>
      </c>
    </row>
    <row r="69" spans="1:6" ht="18" customHeight="1">
      <c r="A69" s="462">
        <f t="shared" ref="A69:A74" si="9">A68+1</f>
        <v>3</v>
      </c>
      <c r="B69" s="463" t="s">
        <v>540</v>
      </c>
      <c r="C69" s="530">
        <v>8</v>
      </c>
      <c r="D69" s="459" t="s">
        <v>9</v>
      </c>
      <c r="E69" s="461">
        <v>40000</v>
      </c>
      <c r="F69" s="460">
        <f t="shared" si="8"/>
        <v>320000</v>
      </c>
    </row>
    <row r="70" spans="1:6" ht="18" customHeight="1">
      <c r="A70" s="462">
        <f t="shared" si="9"/>
        <v>4</v>
      </c>
      <c r="B70" s="463" t="s">
        <v>541</v>
      </c>
      <c r="C70" s="530">
        <v>2</v>
      </c>
      <c r="D70" s="459" t="s">
        <v>9</v>
      </c>
      <c r="E70" s="461">
        <v>50000</v>
      </c>
      <c r="F70" s="460">
        <f t="shared" si="8"/>
        <v>100000</v>
      </c>
    </row>
    <row r="71" spans="1:6" ht="18" customHeight="1">
      <c r="A71" s="462">
        <f t="shared" si="9"/>
        <v>5</v>
      </c>
      <c r="B71" s="463" t="s">
        <v>542</v>
      </c>
      <c r="C71" s="530">
        <v>2</v>
      </c>
      <c r="D71" s="459" t="s">
        <v>9</v>
      </c>
      <c r="E71" s="461">
        <v>75000</v>
      </c>
      <c r="F71" s="460">
        <f t="shared" si="8"/>
        <v>150000</v>
      </c>
    </row>
    <row r="72" spans="1:6" ht="18" customHeight="1">
      <c r="A72" s="462">
        <f t="shared" si="9"/>
        <v>6</v>
      </c>
      <c r="B72" s="463" t="s">
        <v>543</v>
      </c>
      <c r="C72" s="530">
        <v>2</v>
      </c>
      <c r="D72" s="459" t="s">
        <v>9</v>
      </c>
      <c r="E72" s="461">
        <v>50000</v>
      </c>
      <c r="F72" s="460">
        <f t="shared" si="8"/>
        <v>100000</v>
      </c>
    </row>
    <row r="73" spans="1:6" ht="18" customHeight="1">
      <c r="A73" s="462">
        <f t="shared" si="9"/>
        <v>7</v>
      </c>
      <c r="B73" s="486" t="s">
        <v>544</v>
      </c>
      <c r="C73" s="530">
        <f>SUM(C67:C68)</f>
        <v>22</v>
      </c>
      <c r="D73" s="459" t="s">
        <v>545</v>
      </c>
      <c r="E73" s="487">
        <v>350000</v>
      </c>
      <c r="F73" s="460">
        <f t="shared" si="8"/>
        <v>7700000</v>
      </c>
    </row>
    <row r="74" spans="1:6" ht="18" customHeight="1">
      <c r="A74" s="462">
        <f t="shared" si="9"/>
        <v>8</v>
      </c>
      <c r="B74" s="486" t="s">
        <v>546</v>
      </c>
      <c r="C74" s="530">
        <f>SUM(C72:C72)</f>
        <v>2</v>
      </c>
      <c r="D74" s="459" t="s">
        <v>545</v>
      </c>
      <c r="E74" s="461">
        <v>450000</v>
      </c>
      <c r="F74" s="460">
        <f>C74*E74</f>
        <v>900000</v>
      </c>
    </row>
    <row r="75" spans="1:6" ht="18" customHeight="1">
      <c r="A75" s="462"/>
      <c r="B75" s="463"/>
      <c r="C75" s="530"/>
      <c r="D75" s="459"/>
      <c r="E75" s="461"/>
      <c r="F75" s="460"/>
    </row>
    <row r="76" spans="1:6" ht="18" customHeight="1">
      <c r="A76" s="462"/>
      <c r="B76" s="457" t="s">
        <v>547</v>
      </c>
      <c r="C76" s="530"/>
      <c r="D76" s="459"/>
      <c r="E76" s="461"/>
      <c r="F76" s="460"/>
    </row>
    <row r="77" spans="1:6" ht="18" customHeight="1">
      <c r="A77" s="462">
        <v>1</v>
      </c>
      <c r="B77" s="463" t="s">
        <v>538</v>
      </c>
      <c r="C77" s="530">
        <f>2*5</f>
        <v>10</v>
      </c>
      <c r="D77" s="459" t="s">
        <v>9</v>
      </c>
      <c r="E77" s="461">
        <f>E67</f>
        <v>250000</v>
      </c>
      <c r="F77" s="460">
        <f t="shared" ref="F77:F81" si="10">C77*E77</f>
        <v>2500000</v>
      </c>
    </row>
    <row r="78" spans="1:6" ht="18" customHeight="1">
      <c r="A78" s="462">
        <f>A77+1</f>
        <v>2</v>
      </c>
      <c r="B78" s="463" t="s">
        <v>548</v>
      </c>
      <c r="C78" s="530">
        <f>8*5</f>
        <v>40</v>
      </c>
      <c r="D78" s="459" t="s">
        <v>9</v>
      </c>
      <c r="E78" s="461">
        <v>150000</v>
      </c>
      <c r="F78" s="460">
        <f t="shared" si="10"/>
        <v>6000000</v>
      </c>
    </row>
    <row r="79" spans="1:6" ht="18" customHeight="1">
      <c r="A79" s="462">
        <f t="shared" ref="A79:A82" si="11">A78+1</f>
        <v>3</v>
      </c>
      <c r="B79" s="463" t="s">
        <v>541</v>
      </c>
      <c r="C79" s="530">
        <f>1*5</f>
        <v>5</v>
      </c>
      <c r="D79" s="459" t="s">
        <v>9</v>
      </c>
      <c r="E79" s="461">
        <f>E70</f>
        <v>50000</v>
      </c>
      <c r="F79" s="460">
        <f t="shared" si="10"/>
        <v>250000</v>
      </c>
    </row>
    <row r="80" spans="1:6" ht="18" customHeight="1">
      <c r="A80" s="462">
        <f t="shared" si="11"/>
        <v>4</v>
      </c>
      <c r="B80" s="463" t="s">
        <v>543</v>
      </c>
      <c r="C80" s="530">
        <f>1*5</f>
        <v>5</v>
      </c>
      <c r="D80" s="459" t="s">
        <v>9</v>
      </c>
      <c r="E80" s="461">
        <f>E72</f>
        <v>50000</v>
      </c>
      <c r="F80" s="460">
        <f t="shared" si="10"/>
        <v>250000</v>
      </c>
    </row>
    <row r="81" spans="1:6" ht="18" customHeight="1">
      <c r="A81" s="462">
        <f t="shared" si="11"/>
        <v>5</v>
      </c>
      <c r="B81" s="486" t="s">
        <v>544</v>
      </c>
      <c r="C81" s="530">
        <f>SUM(C77:C78)</f>
        <v>50</v>
      </c>
      <c r="D81" s="459" t="s">
        <v>545</v>
      </c>
      <c r="E81" s="487">
        <f>E73</f>
        <v>350000</v>
      </c>
      <c r="F81" s="460">
        <f t="shared" si="10"/>
        <v>17500000</v>
      </c>
    </row>
    <row r="82" spans="1:6" ht="18" customHeight="1">
      <c r="A82" s="462">
        <f t="shared" si="11"/>
        <v>6</v>
      </c>
      <c r="B82" s="486" t="s">
        <v>546</v>
      </c>
      <c r="C82" s="530">
        <f>SUM(C80:C80)</f>
        <v>5</v>
      </c>
      <c r="D82" s="459" t="s">
        <v>545</v>
      </c>
      <c r="E82" s="487">
        <f>E74</f>
        <v>450000</v>
      </c>
      <c r="F82" s="460">
        <f>C82*E82</f>
        <v>2250000</v>
      </c>
    </row>
    <row r="83" spans="1:6" ht="18" customHeight="1">
      <c r="A83" s="462"/>
      <c r="B83" s="463"/>
      <c r="C83" s="530"/>
      <c r="D83" s="459"/>
      <c r="E83" s="461"/>
      <c r="F83" s="460"/>
    </row>
    <row r="84" spans="1:6" ht="18" customHeight="1">
      <c r="A84" s="456"/>
      <c r="B84" s="457" t="s">
        <v>549</v>
      </c>
      <c r="C84" s="530"/>
      <c r="D84" s="459"/>
      <c r="E84" s="461"/>
      <c r="F84" s="460"/>
    </row>
    <row r="85" spans="1:6" ht="18" customHeight="1">
      <c r="A85" s="462">
        <v>1</v>
      </c>
      <c r="B85" s="463" t="s">
        <v>538</v>
      </c>
      <c r="C85" s="530">
        <f>2</f>
        <v>2</v>
      </c>
      <c r="D85" s="459" t="s">
        <v>9</v>
      </c>
      <c r="E85" s="461">
        <f>E77</f>
        <v>250000</v>
      </c>
      <c r="F85" s="460">
        <f t="shared" ref="F85:F88" si="12">C85*E85</f>
        <v>500000</v>
      </c>
    </row>
    <row r="86" spans="1:6" ht="18" customHeight="1">
      <c r="A86" s="462">
        <f>A85+1</f>
        <v>2</v>
      </c>
      <c r="B86" s="463" t="s">
        <v>540</v>
      </c>
      <c r="C86" s="530">
        <v>2</v>
      </c>
      <c r="D86" s="459" t="s">
        <v>9</v>
      </c>
      <c r="E86" s="461">
        <f>E69</f>
        <v>40000</v>
      </c>
      <c r="F86" s="460">
        <f t="shared" si="12"/>
        <v>80000</v>
      </c>
    </row>
    <row r="87" spans="1:6" ht="18" customHeight="1">
      <c r="A87" s="462">
        <f t="shared" ref="A87:A89" si="13">A86+1</f>
        <v>3</v>
      </c>
      <c r="B87" s="463" t="s">
        <v>543</v>
      </c>
      <c r="C87" s="530">
        <v>2</v>
      </c>
      <c r="D87" s="459" t="s">
        <v>9</v>
      </c>
      <c r="E87" s="461">
        <f>E80</f>
        <v>50000</v>
      </c>
      <c r="F87" s="460">
        <f t="shared" si="12"/>
        <v>100000</v>
      </c>
    </row>
    <row r="88" spans="1:6" ht="18" customHeight="1">
      <c r="A88" s="462">
        <f t="shared" si="13"/>
        <v>4</v>
      </c>
      <c r="B88" s="486" t="s">
        <v>544</v>
      </c>
      <c r="C88" s="530">
        <f>SUM(C85)</f>
        <v>2</v>
      </c>
      <c r="D88" s="459" t="s">
        <v>545</v>
      </c>
      <c r="E88" s="487">
        <f>E81</f>
        <v>350000</v>
      </c>
      <c r="F88" s="460">
        <f t="shared" si="12"/>
        <v>700000</v>
      </c>
    </row>
    <row r="89" spans="1:6" ht="18" customHeight="1">
      <c r="A89" s="462">
        <f t="shared" si="13"/>
        <v>5</v>
      </c>
      <c r="B89" s="486" t="s">
        <v>546</v>
      </c>
      <c r="C89" s="530">
        <f>C87</f>
        <v>2</v>
      </c>
      <c r="D89" s="459" t="s">
        <v>545</v>
      </c>
      <c r="E89" s="461">
        <f>E82</f>
        <v>450000</v>
      </c>
      <c r="F89" s="460">
        <f>C89*E89</f>
        <v>900000</v>
      </c>
    </row>
    <row r="90" spans="1:6" ht="18" customHeight="1">
      <c r="A90" s="462"/>
      <c r="B90" s="463"/>
      <c r="C90" s="530"/>
      <c r="D90" s="459"/>
      <c r="E90" s="461"/>
      <c r="F90" s="460"/>
    </row>
    <row r="91" spans="1:6" ht="18" customHeight="1">
      <c r="A91" s="462"/>
      <c r="B91" s="457" t="s">
        <v>550</v>
      </c>
      <c r="C91" s="530"/>
      <c r="D91" s="459"/>
      <c r="E91" s="461"/>
      <c r="F91" s="460"/>
    </row>
    <row r="92" spans="1:6" ht="18" customHeight="1">
      <c r="A92" s="462">
        <v>1</v>
      </c>
      <c r="B92" s="463" t="s">
        <v>551</v>
      </c>
      <c r="C92" s="530">
        <v>17</v>
      </c>
      <c r="D92" s="459" t="s">
        <v>9</v>
      </c>
      <c r="E92" s="461">
        <v>150000</v>
      </c>
      <c r="F92" s="460">
        <f t="shared" ref="F92:F96" si="14">C92*E92</f>
        <v>2550000</v>
      </c>
    </row>
    <row r="93" spans="1:6" ht="18" customHeight="1">
      <c r="A93" s="462">
        <f>A92+1</f>
        <v>2</v>
      </c>
      <c r="B93" s="463" t="s">
        <v>552</v>
      </c>
      <c r="C93" s="530">
        <f>40+60+40+50+140+60+30+30</f>
        <v>450</v>
      </c>
      <c r="D93" s="459" t="s">
        <v>14</v>
      </c>
      <c r="E93" s="461">
        <v>75000</v>
      </c>
      <c r="F93" s="460">
        <f t="shared" si="14"/>
        <v>33750000</v>
      </c>
    </row>
    <row r="94" spans="1:6" ht="18" customHeight="1">
      <c r="A94" s="462">
        <f t="shared" ref="A94:A96" si="15">A93+1</f>
        <v>3</v>
      </c>
      <c r="B94" s="486" t="s">
        <v>553</v>
      </c>
      <c r="C94" s="530">
        <v>70</v>
      </c>
      <c r="D94" s="459" t="s">
        <v>14</v>
      </c>
      <c r="E94" s="487">
        <f>E95</f>
        <v>58800</v>
      </c>
      <c r="F94" s="460">
        <f t="shared" si="14"/>
        <v>4116000</v>
      </c>
    </row>
    <row r="95" spans="1:6" ht="18" customHeight="1">
      <c r="A95" s="462">
        <f t="shared" si="15"/>
        <v>4</v>
      </c>
      <c r="B95" s="486" t="s">
        <v>554</v>
      </c>
      <c r="C95" s="530">
        <f>290+128+60+70+200+122+87</f>
        <v>957</v>
      </c>
      <c r="D95" s="459" t="s">
        <v>14</v>
      </c>
      <c r="E95" s="487">
        <f>((3300000/100)+9000+7000)*1.2</f>
        <v>58800</v>
      </c>
      <c r="F95" s="460">
        <f t="shared" si="14"/>
        <v>56271600</v>
      </c>
    </row>
    <row r="96" spans="1:6" ht="18" customHeight="1">
      <c r="A96" s="462">
        <f t="shared" si="15"/>
        <v>5</v>
      </c>
      <c r="B96" s="463" t="s">
        <v>555</v>
      </c>
      <c r="C96" s="530">
        <f>34-24</f>
        <v>10</v>
      </c>
      <c r="D96" s="459" t="s">
        <v>11</v>
      </c>
      <c r="E96" s="461">
        <v>2000000</v>
      </c>
      <c r="F96" s="460">
        <f t="shared" si="14"/>
        <v>20000000</v>
      </c>
    </row>
    <row r="97" spans="1:6" ht="18" customHeight="1">
      <c r="A97" s="462"/>
      <c r="B97" s="463"/>
      <c r="C97" s="530"/>
      <c r="D97" s="459"/>
      <c r="E97" s="461"/>
      <c r="F97" s="460"/>
    </row>
    <row r="98" spans="1:6" ht="18" customHeight="1">
      <c r="A98" s="462">
        <f>A96+1</f>
        <v>6</v>
      </c>
      <c r="B98" s="463" t="s">
        <v>591</v>
      </c>
      <c r="C98" s="530">
        <f>20-8</f>
        <v>12</v>
      </c>
      <c r="D98" s="459" t="s">
        <v>9</v>
      </c>
      <c r="E98" s="461">
        <v>5000000</v>
      </c>
      <c r="F98" s="460">
        <f>C98*E98</f>
        <v>60000000</v>
      </c>
    </row>
    <row r="99" spans="1:6" ht="18" customHeight="1">
      <c r="A99" s="462">
        <f t="shared" ref="A99:A100" si="16">A98+1</f>
        <v>7</v>
      </c>
      <c r="B99" s="463" t="s">
        <v>556</v>
      </c>
      <c r="C99" s="530">
        <v>5</v>
      </c>
      <c r="D99" s="459" t="s">
        <v>9</v>
      </c>
      <c r="E99" s="461">
        <v>400000</v>
      </c>
      <c r="F99" s="460">
        <f>C99*E99</f>
        <v>2000000</v>
      </c>
    </row>
    <row r="100" spans="1:6" ht="18" customHeight="1">
      <c r="A100" s="462">
        <f t="shared" si="16"/>
        <v>8</v>
      </c>
      <c r="B100" s="463" t="s">
        <v>557</v>
      </c>
      <c r="C100" s="530">
        <f>5-2</f>
        <v>3</v>
      </c>
      <c r="D100" s="459" t="s">
        <v>9</v>
      </c>
      <c r="E100" s="461">
        <v>50000000</v>
      </c>
      <c r="F100" s="460">
        <f t="shared" ref="F100" si="17">C100*E100</f>
        <v>150000000</v>
      </c>
    </row>
    <row r="101" spans="1:6" ht="18" customHeight="1">
      <c r="A101" s="462"/>
      <c r="B101" s="488" t="s">
        <v>558</v>
      </c>
      <c r="C101" s="531"/>
      <c r="D101" s="489"/>
      <c r="E101" s="468"/>
      <c r="F101" s="469"/>
    </row>
    <row r="102" spans="1:6" ht="18" customHeight="1">
      <c r="A102" s="470"/>
      <c r="B102" s="488"/>
      <c r="C102" s="531"/>
      <c r="D102" s="489"/>
      <c r="E102" s="468"/>
      <c r="F102" s="469"/>
    </row>
    <row r="103" spans="1:6" ht="18" customHeight="1">
      <c r="A103" s="471"/>
      <c r="B103" s="490"/>
      <c r="C103" s="473"/>
      <c r="D103" s="474"/>
      <c r="E103" s="491" t="s">
        <v>559</v>
      </c>
      <c r="F103" s="476">
        <f>SUM(F66:F102)</f>
        <v>373687600</v>
      </c>
    </row>
    <row r="104" spans="1:6" ht="18" customHeight="1">
      <c r="A104" s="492"/>
      <c r="B104" s="493"/>
      <c r="C104" s="494"/>
      <c r="D104" s="495"/>
      <c r="E104" s="496"/>
      <c r="F104" s="497"/>
    </row>
    <row r="105" spans="1:6" ht="18" customHeight="1">
      <c r="A105" s="498"/>
      <c r="B105" s="499"/>
      <c r="C105" s="473"/>
      <c r="D105" s="474"/>
      <c r="E105" s="500" t="s">
        <v>560</v>
      </c>
      <c r="F105" s="476">
        <f>F103+F63+F35</f>
        <v>665356100</v>
      </c>
    </row>
    <row r="106" spans="1:6" ht="18" customHeight="1">
      <c r="C106" s="443"/>
    </row>
    <row r="110" spans="1:6" ht="18" customHeight="1">
      <c r="F110" s="445">
        <f>SUM(F10:F104)/2</f>
        <v>665356100</v>
      </c>
    </row>
  </sheetData>
  <mergeCells count="5">
    <mergeCell ref="A2:F2"/>
    <mergeCell ref="A3:F3"/>
    <mergeCell ref="D4:F4"/>
    <mergeCell ref="A5:F5"/>
    <mergeCell ref="C7:D7"/>
  </mergeCells>
  <pageMargins left="0.70866141732283472" right="0.31496062992125984" top="0.51181102362204722" bottom="0.31496062992125984" header="0.31496062992125984" footer="0.31496062992125984"/>
  <pageSetup paperSize="9" scale="6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118"/>
  <sheetViews>
    <sheetView view="pageBreakPreview" zoomScale="60" zoomScaleNormal="100" workbookViewId="0">
      <selection activeCell="F11" sqref="F11"/>
    </sheetView>
  </sheetViews>
  <sheetFormatPr defaultColWidth="9" defaultRowHeight="18" customHeight="1"/>
  <cols>
    <col min="1" max="1" width="5.28515625" style="390" customWidth="1"/>
    <col min="2" max="2" width="70.140625" style="388" customWidth="1"/>
    <col min="3" max="3" width="11.28515625" style="437" customWidth="1"/>
    <col min="4" max="4" width="6.85546875" style="390" customWidth="1"/>
    <col min="5" max="5" width="21.140625" style="392" bestFit="1" customWidth="1"/>
    <col min="6" max="6" width="23.7109375" style="392" customWidth="1"/>
    <col min="7" max="7" width="9" style="388" customWidth="1"/>
    <col min="8" max="16384" width="9" style="388"/>
  </cols>
  <sheetData>
    <row r="1" spans="1:6" ht="105.4" customHeight="1"/>
    <row r="2" spans="1:6" ht="15.75">
      <c r="A2" s="388" t="str">
        <f>[13]elektrikal!A1</f>
        <v>RENCANA ANGGARAN BIAYA</v>
      </c>
      <c r="B2" s="389"/>
      <c r="C2" s="389"/>
      <c r="D2" s="389"/>
      <c r="E2" s="389"/>
      <c r="F2" s="389"/>
    </row>
    <row r="3" spans="1:6" ht="13.7" customHeight="1">
      <c r="A3" s="388" t="s">
        <v>406</v>
      </c>
      <c r="B3" s="389"/>
      <c r="C3" s="389"/>
      <c r="D3" s="389"/>
      <c r="E3" s="389"/>
      <c r="F3" s="389"/>
    </row>
    <row r="4" spans="1:6" ht="18" customHeight="1">
      <c r="A4" s="388" t="s">
        <v>590</v>
      </c>
      <c r="B4" s="389"/>
      <c r="C4" s="389"/>
      <c r="D4" s="389"/>
      <c r="E4" s="389"/>
      <c r="F4" s="389"/>
    </row>
    <row r="5" spans="1:6" ht="18" customHeight="1">
      <c r="A5" s="388" t="str">
        <f>[13]elektrikal!A4</f>
        <v>UNIVERSITAS DIPONEGORO</v>
      </c>
      <c r="B5" s="389"/>
      <c r="C5" s="389"/>
      <c r="D5" s="389"/>
      <c r="E5" s="389"/>
      <c r="F5" s="389"/>
    </row>
    <row r="6" spans="1:6" ht="18" customHeight="1">
      <c r="C6" s="391"/>
    </row>
    <row r="7" spans="1:6" s="397" customFormat="1" ht="35.450000000000003" customHeight="1">
      <c r="A7" s="393" t="s">
        <v>6</v>
      </c>
      <c r="B7" s="394" t="s">
        <v>407</v>
      </c>
      <c r="C7" s="616" t="s">
        <v>408</v>
      </c>
      <c r="D7" s="617"/>
      <c r="E7" s="395" t="s">
        <v>409</v>
      </c>
      <c r="F7" s="396" t="s">
        <v>410</v>
      </c>
    </row>
    <row r="8" spans="1:6" ht="118.15" customHeight="1">
      <c r="A8" s="398"/>
      <c r="B8" s="399" t="s">
        <v>588</v>
      </c>
      <c r="C8" s="400"/>
      <c r="D8" s="401"/>
      <c r="E8" s="402"/>
      <c r="F8" s="403"/>
    </row>
    <row r="9" spans="1:6" ht="18" customHeight="1">
      <c r="A9" s="404"/>
      <c r="B9" s="405"/>
      <c r="C9" s="406"/>
      <c r="D9" s="407"/>
      <c r="E9" s="408"/>
      <c r="F9" s="409"/>
    </row>
    <row r="10" spans="1:6" ht="18" customHeight="1">
      <c r="A10" s="404" t="s">
        <v>411</v>
      </c>
      <c r="B10" s="405" t="s">
        <v>412</v>
      </c>
      <c r="C10" s="406"/>
      <c r="D10" s="407"/>
      <c r="E10" s="408"/>
      <c r="F10" s="409"/>
    </row>
    <row r="11" spans="1:6" ht="18" customHeight="1">
      <c r="A11" s="410"/>
      <c r="B11" s="405" t="s">
        <v>413</v>
      </c>
      <c r="C11" s="406"/>
      <c r="D11" s="407"/>
      <c r="E11" s="408"/>
      <c r="F11" s="409"/>
    </row>
    <row r="12" spans="1:6" ht="18" customHeight="1">
      <c r="A12" s="411">
        <v>1</v>
      </c>
      <c r="B12" s="412" t="s">
        <v>414</v>
      </c>
      <c r="C12" s="413">
        <v>1</v>
      </c>
      <c r="D12" s="407" t="s">
        <v>9</v>
      </c>
      <c r="E12" s="414" t="s">
        <v>415</v>
      </c>
      <c r="F12" s="415" t="s">
        <v>415</v>
      </c>
    </row>
    <row r="13" spans="1:6" ht="18" customHeight="1">
      <c r="A13" s="411">
        <f>A12+1</f>
        <v>2</v>
      </c>
      <c r="B13" s="412" t="s">
        <v>416</v>
      </c>
      <c r="C13" s="413">
        <v>1</v>
      </c>
      <c r="D13" s="407" t="s">
        <v>9</v>
      </c>
      <c r="E13" s="416">
        <v>10000000</v>
      </c>
      <c r="F13" s="409">
        <f t="shared" ref="F13" si="0">C13*E13</f>
        <v>10000000</v>
      </c>
    </row>
    <row r="14" spans="1:6" ht="18" customHeight="1">
      <c r="A14" s="411"/>
      <c r="B14" s="417" t="s">
        <v>417</v>
      </c>
      <c r="C14" s="413"/>
      <c r="D14" s="407"/>
      <c r="E14" s="416"/>
      <c r="F14" s="409"/>
    </row>
    <row r="15" spans="1:6" ht="18" customHeight="1">
      <c r="A15" s="411"/>
      <c r="B15" s="417" t="s">
        <v>418</v>
      </c>
      <c r="C15" s="413"/>
      <c r="D15" s="407"/>
      <c r="E15" s="416"/>
      <c r="F15" s="409"/>
    </row>
    <row r="16" spans="1:6" ht="18" customHeight="1">
      <c r="A16" s="411"/>
      <c r="B16" s="417" t="s">
        <v>419</v>
      </c>
      <c r="C16" s="413"/>
      <c r="D16" s="407"/>
      <c r="E16" s="416"/>
      <c r="F16" s="409"/>
    </row>
    <row r="17" spans="1:6" ht="18" customHeight="1">
      <c r="A17" s="411"/>
      <c r="B17" s="417" t="s">
        <v>420</v>
      </c>
      <c r="C17" s="413"/>
      <c r="D17" s="407"/>
      <c r="E17" s="416"/>
      <c r="F17" s="409"/>
    </row>
    <row r="18" spans="1:6" ht="18" customHeight="1">
      <c r="A18" s="411"/>
      <c r="B18" s="417" t="s">
        <v>421</v>
      </c>
      <c r="C18" s="413"/>
      <c r="D18" s="407"/>
      <c r="E18" s="416"/>
      <c r="F18" s="409"/>
    </row>
    <row r="19" spans="1:6" ht="18" customHeight="1">
      <c r="A19" s="411">
        <f>A13+1</f>
        <v>3</v>
      </c>
      <c r="B19" s="412" t="s">
        <v>422</v>
      </c>
      <c r="C19" s="413"/>
      <c r="D19" s="407"/>
      <c r="E19" s="416"/>
      <c r="F19" s="409"/>
    </row>
    <row r="20" spans="1:6" ht="18" customHeight="1">
      <c r="A20" s="410"/>
      <c r="B20" s="412" t="s">
        <v>423</v>
      </c>
      <c r="C20" s="413">
        <v>16</v>
      </c>
      <c r="D20" s="407" t="s">
        <v>424</v>
      </c>
      <c r="E20" s="416">
        <f>90000/4*1.4</f>
        <v>31499.999999999996</v>
      </c>
      <c r="F20" s="409">
        <f t="shared" ref="F20:F27" si="1">C20*E20</f>
        <v>503999.99999999994</v>
      </c>
    </row>
    <row r="21" spans="1:6" ht="18" customHeight="1">
      <c r="A21" s="411">
        <f>A19+1</f>
        <v>4</v>
      </c>
      <c r="B21" s="412" t="s">
        <v>425</v>
      </c>
      <c r="C21" s="413">
        <v>5</v>
      </c>
      <c r="D21" s="407" t="s">
        <v>3</v>
      </c>
      <c r="E21" s="416">
        <v>300000</v>
      </c>
      <c r="F21" s="409">
        <f t="shared" si="1"/>
        <v>1500000</v>
      </c>
    </row>
    <row r="22" spans="1:6" ht="18" customHeight="1">
      <c r="A22" s="411">
        <f>A21+1</f>
        <v>5</v>
      </c>
      <c r="B22" s="412" t="s">
        <v>426</v>
      </c>
      <c r="C22" s="413">
        <v>2</v>
      </c>
      <c r="D22" s="407" t="s">
        <v>3</v>
      </c>
      <c r="E22" s="416">
        <f>E21</f>
        <v>300000</v>
      </c>
      <c r="F22" s="409">
        <f t="shared" si="1"/>
        <v>600000</v>
      </c>
    </row>
    <row r="23" spans="1:6" ht="18" customHeight="1">
      <c r="A23" s="411">
        <f t="shared" ref="A23:A28" si="2">A22+1</f>
        <v>6</v>
      </c>
      <c r="B23" s="412" t="s">
        <v>427</v>
      </c>
      <c r="C23" s="413">
        <v>2</v>
      </c>
      <c r="D23" s="407" t="s">
        <v>3</v>
      </c>
      <c r="E23" s="416">
        <v>250000</v>
      </c>
      <c r="F23" s="409">
        <f t="shared" si="1"/>
        <v>500000</v>
      </c>
    </row>
    <row r="24" spans="1:6" ht="18" customHeight="1">
      <c r="A24" s="411">
        <f t="shared" si="2"/>
        <v>7</v>
      </c>
      <c r="B24" s="412" t="s">
        <v>428</v>
      </c>
      <c r="C24" s="413">
        <v>1</v>
      </c>
      <c r="D24" s="407" t="s">
        <v>3</v>
      </c>
      <c r="E24" s="416">
        <v>300000</v>
      </c>
      <c r="F24" s="409">
        <f t="shared" si="1"/>
        <v>300000</v>
      </c>
    </row>
    <row r="25" spans="1:6" ht="18" customHeight="1">
      <c r="A25" s="411">
        <f t="shared" si="2"/>
        <v>8</v>
      </c>
      <c r="B25" s="412" t="s">
        <v>429</v>
      </c>
      <c r="C25" s="413">
        <v>1</v>
      </c>
      <c r="D25" s="407" t="s">
        <v>3</v>
      </c>
      <c r="E25" s="416">
        <v>250000</v>
      </c>
      <c r="F25" s="409">
        <f t="shared" si="1"/>
        <v>250000</v>
      </c>
    </row>
    <row r="26" spans="1:6" ht="18" customHeight="1">
      <c r="A26" s="411">
        <f t="shared" si="2"/>
        <v>9</v>
      </c>
      <c r="B26" s="412" t="s">
        <v>430</v>
      </c>
      <c r="C26" s="413">
        <v>1</v>
      </c>
      <c r="D26" s="407" t="s">
        <v>9</v>
      </c>
      <c r="E26" s="416">
        <v>4500000</v>
      </c>
      <c r="F26" s="409">
        <f t="shared" si="1"/>
        <v>4500000</v>
      </c>
    </row>
    <row r="27" spans="1:6" ht="18" customHeight="1">
      <c r="A27" s="411">
        <f t="shared" si="2"/>
        <v>10</v>
      </c>
      <c r="B27" s="418" t="s">
        <v>431</v>
      </c>
      <c r="C27" s="413">
        <v>1</v>
      </c>
      <c r="D27" s="407" t="s">
        <v>9</v>
      </c>
      <c r="E27" s="416">
        <v>3500000</v>
      </c>
      <c r="F27" s="409">
        <f t="shared" si="1"/>
        <v>3500000</v>
      </c>
    </row>
    <row r="28" spans="1:6" ht="18" customHeight="1">
      <c r="A28" s="411">
        <f t="shared" si="2"/>
        <v>11</v>
      </c>
      <c r="B28" s="412" t="s">
        <v>432</v>
      </c>
      <c r="C28" s="413"/>
      <c r="D28" s="407"/>
      <c r="E28" s="408"/>
      <c r="F28" s="409"/>
    </row>
    <row r="29" spans="1:6" ht="18" customHeight="1">
      <c r="A29" s="411"/>
      <c r="B29" s="417" t="s">
        <v>433</v>
      </c>
      <c r="C29" s="413">
        <v>48</v>
      </c>
      <c r="D29" s="407" t="s">
        <v>14</v>
      </c>
      <c r="E29" s="416">
        <f>(215000/4)*1.4</f>
        <v>75250</v>
      </c>
      <c r="F29" s="409">
        <f>C29*E29</f>
        <v>3612000</v>
      </c>
    </row>
    <row r="30" spans="1:6" ht="18" customHeight="1">
      <c r="A30" s="419"/>
      <c r="B30" s="420" t="s">
        <v>434</v>
      </c>
      <c r="C30" s="421">
        <v>20</v>
      </c>
      <c r="D30" s="422" t="s">
        <v>14</v>
      </c>
      <c r="E30" s="423">
        <f>(175000/4)*1.4</f>
        <v>61249.999999999993</v>
      </c>
      <c r="F30" s="424">
        <f>C30*E30</f>
        <v>1224999.9999999998</v>
      </c>
    </row>
    <row r="31" spans="1:6" ht="18" customHeight="1">
      <c r="A31" s="419"/>
      <c r="B31" s="420" t="s">
        <v>435</v>
      </c>
      <c r="C31" s="421">
        <v>100</v>
      </c>
      <c r="D31" s="422" t="s">
        <v>14</v>
      </c>
      <c r="E31" s="423">
        <f>(50000/4)*1.4</f>
        <v>17500</v>
      </c>
      <c r="F31" s="424">
        <f>C31*E31</f>
        <v>1750000</v>
      </c>
    </row>
    <row r="32" spans="1:6" ht="18" customHeight="1">
      <c r="A32" s="411"/>
      <c r="B32" s="417" t="s">
        <v>436</v>
      </c>
      <c r="C32" s="413"/>
      <c r="D32" s="407" t="s">
        <v>3</v>
      </c>
      <c r="E32" s="416"/>
      <c r="F32" s="409">
        <f>C32*E32</f>
        <v>0</v>
      </c>
    </row>
    <row r="33" spans="1:6" ht="18" customHeight="1">
      <c r="A33" s="411"/>
      <c r="B33" s="412"/>
      <c r="C33" s="413"/>
      <c r="D33" s="407"/>
      <c r="E33" s="408"/>
      <c r="F33" s="409"/>
    </row>
    <row r="34" spans="1:6" ht="18" customHeight="1">
      <c r="A34" s="411">
        <f>A28+1</f>
        <v>12</v>
      </c>
      <c r="B34" s="425" t="s">
        <v>437</v>
      </c>
      <c r="C34" s="413"/>
      <c r="D34" s="407"/>
      <c r="E34" s="408"/>
      <c r="F34" s="409"/>
    </row>
    <row r="35" spans="1:6" ht="18" customHeight="1">
      <c r="A35" s="410"/>
      <c r="B35" s="618" t="s">
        <v>438</v>
      </c>
      <c r="C35" s="413">
        <v>1</v>
      </c>
      <c r="D35" s="407" t="s">
        <v>439</v>
      </c>
      <c r="E35" s="408">
        <v>60000000</v>
      </c>
      <c r="F35" s="409">
        <f>C35*E35</f>
        <v>60000000</v>
      </c>
    </row>
    <row r="36" spans="1:6" ht="18" customHeight="1">
      <c r="A36" s="410"/>
      <c r="B36" s="619"/>
      <c r="C36" s="413"/>
      <c r="D36" s="407"/>
      <c r="E36" s="408"/>
      <c r="F36" s="409"/>
    </row>
    <row r="37" spans="1:6" ht="18" customHeight="1">
      <c r="A37" s="410"/>
      <c r="B37" s="619"/>
      <c r="C37" s="413"/>
      <c r="D37" s="407"/>
      <c r="E37" s="408"/>
      <c r="F37" s="409"/>
    </row>
    <row r="38" spans="1:6" ht="18" customHeight="1">
      <c r="A38" s="410"/>
      <c r="B38" s="619"/>
      <c r="C38" s="413"/>
      <c r="D38" s="407"/>
      <c r="E38" s="408"/>
      <c r="F38" s="409"/>
    </row>
    <row r="39" spans="1:6" ht="18" customHeight="1">
      <c r="A39" s="410"/>
      <c r="B39" s="619"/>
      <c r="C39" s="413"/>
      <c r="D39" s="407"/>
      <c r="E39" s="408"/>
      <c r="F39" s="409"/>
    </row>
    <row r="40" spans="1:6" ht="18" customHeight="1">
      <c r="A40" s="410"/>
      <c r="B40" s="417" t="s">
        <v>440</v>
      </c>
      <c r="C40" s="413"/>
      <c r="D40" s="407"/>
      <c r="E40" s="408"/>
      <c r="F40" s="409"/>
    </row>
    <row r="41" spans="1:6" ht="18" customHeight="1">
      <c r="A41" s="410"/>
      <c r="B41" s="417" t="s">
        <v>441</v>
      </c>
      <c r="C41" s="413"/>
      <c r="D41" s="407"/>
      <c r="E41" s="408"/>
      <c r="F41" s="409"/>
    </row>
    <row r="42" spans="1:6" ht="18" customHeight="1">
      <c r="A42" s="410"/>
      <c r="B42" s="417" t="s">
        <v>442</v>
      </c>
      <c r="C42" s="413"/>
      <c r="D42" s="407"/>
      <c r="E42" s="408"/>
      <c r="F42" s="409"/>
    </row>
    <row r="43" spans="1:6" ht="18" customHeight="1">
      <c r="A43" s="410"/>
      <c r="B43" s="417" t="s">
        <v>443</v>
      </c>
      <c r="C43" s="413"/>
      <c r="D43" s="407"/>
      <c r="E43" s="408"/>
      <c r="F43" s="409"/>
    </row>
    <row r="44" spans="1:6" ht="18" customHeight="1">
      <c r="A44" s="410"/>
      <c r="B44" s="417" t="s">
        <v>444</v>
      </c>
      <c r="C44" s="413"/>
      <c r="D44" s="407"/>
      <c r="E44" s="408"/>
      <c r="F44" s="409"/>
    </row>
    <row r="45" spans="1:6" ht="18" customHeight="1">
      <c r="A45" s="410"/>
      <c r="B45" s="417" t="s">
        <v>445</v>
      </c>
      <c r="C45" s="413"/>
      <c r="D45" s="407"/>
      <c r="E45" s="408"/>
      <c r="F45" s="409"/>
    </row>
    <row r="46" spans="1:6" ht="18" customHeight="1">
      <c r="A46" s="410"/>
      <c r="B46" s="417" t="s">
        <v>446</v>
      </c>
      <c r="C46" s="413"/>
      <c r="D46" s="407"/>
      <c r="E46" s="408"/>
      <c r="F46" s="409"/>
    </row>
    <row r="47" spans="1:6" ht="18" customHeight="1">
      <c r="A47" s="410"/>
      <c r="B47" s="417" t="s">
        <v>447</v>
      </c>
      <c r="C47" s="413"/>
      <c r="D47" s="407"/>
      <c r="E47" s="408"/>
      <c r="F47" s="409"/>
    </row>
    <row r="48" spans="1:6" ht="18" customHeight="1">
      <c r="A48" s="410"/>
      <c r="B48" s="417" t="s">
        <v>448</v>
      </c>
      <c r="C48" s="413"/>
      <c r="D48" s="407"/>
      <c r="E48" s="408"/>
      <c r="F48" s="409"/>
    </row>
    <row r="49" spans="1:6" ht="18" customHeight="1">
      <c r="A49" s="410"/>
      <c r="B49" s="417" t="s">
        <v>449</v>
      </c>
      <c r="C49" s="413"/>
      <c r="D49" s="407"/>
      <c r="E49" s="408"/>
      <c r="F49" s="409"/>
    </row>
    <row r="50" spans="1:6" ht="18" customHeight="1">
      <c r="A50" s="410"/>
      <c r="B50" s="417" t="s">
        <v>450</v>
      </c>
      <c r="C50" s="413"/>
      <c r="D50" s="407"/>
      <c r="E50" s="408"/>
      <c r="F50" s="409"/>
    </row>
    <row r="51" spans="1:6" ht="18" customHeight="1">
      <c r="A51" s="410"/>
      <c r="B51" s="417" t="s">
        <v>451</v>
      </c>
      <c r="C51" s="413"/>
      <c r="D51" s="407"/>
      <c r="E51" s="408"/>
      <c r="F51" s="409"/>
    </row>
    <row r="52" spans="1:6" ht="18" customHeight="1">
      <c r="A52" s="410"/>
      <c r="B52" s="412"/>
      <c r="C52" s="413"/>
      <c r="D52" s="407"/>
      <c r="E52" s="408"/>
      <c r="F52" s="409"/>
    </row>
    <row r="53" spans="1:6" ht="18" customHeight="1">
      <c r="A53" s="411">
        <f>A34+1</f>
        <v>13</v>
      </c>
      <c r="B53" s="412" t="s">
        <v>452</v>
      </c>
      <c r="C53" s="413"/>
      <c r="D53" s="407"/>
      <c r="E53" s="408"/>
      <c r="F53" s="409"/>
    </row>
    <row r="54" spans="1:6" ht="18" customHeight="1">
      <c r="A54" s="410"/>
      <c r="B54" s="405" t="s">
        <v>453</v>
      </c>
      <c r="C54" s="413"/>
      <c r="D54" s="407"/>
      <c r="E54" s="426"/>
      <c r="F54" s="427"/>
    </row>
    <row r="55" spans="1:6" ht="18" customHeight="1">
      <c r="A55" s="410"/>
      <c r="B55" s="412" t="s">
        <v>454</v>
      </c>
      <c r="C55" s="413">
        <v>1</v>
      </c>
      <c r="D55" s="407" t="s">
        <v>9</v>
      </c>
      <c r="E55" s="426"/>
      <c r="F55" s="427" t="s">
        <v>455</v>
      </c>
    </row>
    <row r="56" spans="1:6" ht="18" customHeight="1">
      <c r="A56" s="410"/>
      <c r="B56" s="412" t="s">
        <v>456</v>
      </c>
      <c r="C56" s="413">
        <v>1</v>
      </c>
      <c r="D56" s="407" t="s">
        <v>9</v>
      </c>
      <c r="E56" s="408">
        <v>10000000</v>
      </c>
      <c r="F56" s="409">
        <f>C56*E56</f>
        <v>10000000</v>
      </c>
    </row>
    <row r="57" spans="1:6" ht="18" customHeight="1">
      <c r="A57" s="410"/>
      <c r="B57" s="412" t="s">
        <v>457</v>
      </c>
      <c r="C57" s="413">
        <v>1</v>
      </c>
      <c r="D57" s="407" t="s">
        <v>9</v>
      </c>
      <c r="E57" s="408">
        <v>20000000</v>
      </c>
      <c r="F57" s="409">
        <f>C57*E57</f>
        <v>20000000</v>
      </c>
    </row>
    <row r="58" spans="1:6" ht="18" customHeight="1">
      <c r="A58" s="411"/>
      <c r="B58" s="417" t="s">
        <v>458</v>
      </c>
      <c r="C58" s="413"/>
      <c r="D58" s="407"/>
      <c r="E58" s="416"/>
      <c r="F58" s="409"/>
    </row>
    <row r="59" spans="1:6" ht="18" customHeight="1">
      <c r="A59" s="411"/>
      <c r="B59" s="417" t="s">
        <v>459</v>
      </c>
      <c r="C59" s="413"/>
      <c r="D59" s="407"/>
      <c r="E59" s="416"/>
      <c r="F59" s="409"/>
    </row>
    <row r="60" spans="1:6" ht="18" customHeight="1">
      <c r="A60" s="411"/>
      <c r="B60" s="417" t="s">
        <v>460</v>
      </c>
      <c r="C60" s="413"/>
      <c r="D60" s="407"/>
      <c r="E60" s="416"/>
      <c r="F60" s="409"/>
    </row>
    <row r="61" spans="1:6" ht="18" customHeight="1">
      <c r="A61" s="411"/>
      <c r="B61" s="417" t="s">
        <v>420</v>
      </c>
      <c r="C61" s="413"/>
      <c r="D61" s="407"/>
      <c r="E61" s="416"/>
      <c r="F61" s="409"/>
    </row>
    <row r="62" spans="1:6" ht="18" customHeight="1">
      <c r="A62" s="411"/>
      <c r="B62" s="417" t="s">
        <v>421</v>
      </c>
      <c r="C62" s="413"/>
      <c r="D62" s="407"/>
      <c r="E62" s="416"/>
      <c r="F62" s="409"/>
    </row>
    <row r="63" spans="1:6" ht="18" customHeight="1">
      <c r="A63" s="410"/>
      <c r="B63" s="412" t="s">
        <v>461</v>
      </c>
      <c r="C63" s="413">
        <v>1</v>
      </c>
      <c r="D63" s="407" t="s">
        <v>9</v>
      </c>
      <c r="E63" s="408">
        <v>20000000</v>
      </c>
      <c r="F63" s="409">
        <f>C63*E63</f>
        <v>20000000</v>
      </c>
    </row>
    <row r="64" spans="1:6" ht="18" customHeight="1">
      <c r="A64" s="411"/>
      <c r="B64" s="417" t="s">
        <v>458</v>
      </c>
      <c r="C64" s="413"/>
      <c r="D64" s="407"/>
      <c r="E64" s="416"/>
      <c r="F64" s="409"/>
    </row>
    <row r="65" spans="1:6" ht="18" customHeight="1">
      <c r="A65" s="411"/>
      <c r="B65" s="417" t="s">
        <v>459</v>
      </c>
      <c r="C65" s="413"/>
      <c r="D65" s="407"/>
      <c r="E65" s="416"/>
      <c r="F65" s="409"/>
    </row>
    <row r="66" spans="1:6" ht="18" customHeight="1">
      <c r="A66" s="411"/>
      <c r="B66" s="417" t="s">
        <v>460</v>
      </c>
      <c r="C66" s="413"/>
      <c r="D66" s="407"/>
      <c r="E66" s="416"/>
      <c r="F66" s="409"/>
    </row>
    <row r="67" spans="1:6" ht="18" customHeight="1">
      <c r="A67" s="411"/>
      <c r="B67" s="417" t="s">
        <v>420</v>
      </c>
      <c r="C67" s="413"/>
      <c r="D67" s="407"/>
      <c r="E67" s="416"/>
      <c r="F67" s="409"/>
    </row>
    <row r="68" spans="1:6" ht="18" customHeight="1">
      <c r="A68" s="411"/>
      <c r="B68" s="417" t="s">
        <v>421</v>
      </c>
      <c r="C68" s="413"/>
      <c r="D68" s="407"/>
      <c r="E68" s="416"/>
      <c r="F68" s="409"/>
    </row>
    <row r="69" spans="1:6" ht="18" customHeight="1">
      <c r="A69" s="411"/>
      <c r="B69" s="412" t="s">
        <v>426</v>
      </c>
      <c r="C69" s="413">
        <v>4</v>
      </c>
      <c r="D69" s="407" t="s">
        <v>3</v>
      </c>
      <c r="E69" s="416">
        <v>250000</v>
      </c>
      <c r="F69" s="409">
        <f>C69*E69</f>
        <v>1000000</v>
      </c>
    </row>
    <row r="70" spans="1:6" ht="18" customHeight="1">
      <c r="A70" s="410"/>
      <c r="B70" s="412" t="s">
        <v>462</v>
      </c>
      <c r="C70" s="413">
        <v>1</v>
      </c>
      <c r="D70" s="407" t="s">
        <v>16</v>
      </c>
      <c r="E70" s="408">
        <v>1000000</v>
      </c>
      <c r="F70" s="409">
        <f t="shared" ref="F70:F72" si="3">C70*E70</f>
        <v>1000000</v>
      </c>
    </row>
    <row r="71" spans="1:6" ht="18" customHeight="1">
      <c r="A71" s="410"/>
      <c r="B71" s="412" t="s">
        <v>463</v>
      </c>
      <c r="C71" s="413">
        <v>1</v>
      </c>
      <c r="D71" s="407" t="s">
        <v>3</v>
      </c>
      <c r="E71" s="408">
        <v>150000</v>
      </c>
      <c r="F71" s="409">
        <f t="shared" si="3"/>
        <v>150000</v>
      </c>
    </row>
    <row r="72" spans="1:6" ht="18" customHeight="1">
      <c r="A72" s="410"/>
      <c r="B72" s="412" t="s">
        <v>429</v>
      </c>
      <c r="C72" s="413">
        <v>1</v>
      </c>
      <c r="D72" s="407" t="s">
        <v>3</v>
      </c>
      <c r="E72" s="408">
        <v>250000</v>
      </c>
      <c r="F72" s="409">
        <f t="shared" si="3"/>
        <v>250000</v>
      </c>
    </row>
    <row r="73" spans="1:6" ht="18" customHeight="1">
      <c r="A73" s="410"/>
      <c r="B73" s="412"/>
      <c r="C73" s="413"/>
      <c r="D73" s="407"/>
      <c r="E73" s="408"/>
      <c r="F73" s="409"/>
    </row>
    <row r="74" spans="1:6" ht="18" customHeight="1">
      <c r="A74" s="410"/>
      <c r="B74" s="405" t="s">
        <v>464</v>
      </c>
      <c r="C74" s="413"/>
      <c r="D74" s="407"/>
      <c r="E74" s="426"/>
      <c r="F74" s="427"/>
    </row>
    <row r="75" spans="1:6" ht="18" customHeight="1">
      <c r="A75" s="410"/>
      <c r="B75" s="412" t="s">
        <v>454</v>
      </c>
      <c r="C75" s="413">
        <v>1</v>
      </c>
      <c r="D75" s="407" t="s">
        <v>9</v>
      </c>
      <c r="E75" s="426" t="s">
        <v>465</v>
      </c>
      <c r="F75" s="427" t="s">
        <v>465</v>
      </c>
    </row>
    <row r="76" spans="1:6" ht="18" customHeight="1">
      <c r="A76" s="410"/>
      <c r="B76" s="412" t="s">
        <v>456</v>
      </c>
      <c r="C76" s="413">
        <v>1</v>
      </c>
      <c r="D76" s="407" t="s">
        <v>9</v>
      </c>
      <c r="E76" s="408">
        <f>E56</f>
        <v>10000000</v>
      </c>
      <c r="F76" s="409">
        <f>C76*E76</f>
        <v>10000000</v>
      </c>
    </row>
    <row r="77" spans="1:6" ht="18" customHeight="1">
      <c r="A77" s="410"/>
      <c r="B77" s="412" t="s">
        <v>457</v>
      </c>
      <c r="C77" s="413">
        <v>1</v>
      </c>
      <c r="D77" s="407" t="s">
        <v>9</v>
      </c>
      <c r="E77" s="408">
        <f>E57</f>
        <v>20000000</v>
      </c>
      <c r="F77" s="409">
        <f>C77*E77</f>
        <v>20000000</v>
      </c>
    </row>
    <row r="78" spans="1:6" ht="18" customHeight="1">
      <c r="A78" s="411"/>
      <c r="B78" s="417" t="s">
        <v>458</v>
      </c>
      <c r="C78" s="413"/>
      <c r="D78" s="407"/>
      <c r="E78" s="416"/>
      <c r="F78" s="409"/>
    </row>
    <row r="79" spans="1:6" ht="18" customHeight="1">
      <c r="A79" s="411"/>
      <c r="B79" s="417" t="s">
        <v>459</v>
      </c>
      <c r="C79" s="413"/>
      <c r="D79" s="407"/>
      <c r="E79" s="416"/>
      <c r="F79" s="409"/>
    </row>
    <row r="80" spans="1:6" ht="18" customHeight="1">
      <c r="A80" s="411"/>
      <c r="B80" s="417" t="s">
        <v>460</v>
      </c>
      <c r="C80" s="413"/>
      <c r="D80" s="407"/>
      <c r="E80" s="416"/>
      <c r="F80" s="409"/>
    </row>
    <row r="81" spans="1:6" ht="18" customHeight="1">
      <c r="A81" s="411"/>
      <c r="B81" s="417" t="s">
        <v>420</v>
      </c>
      <c r="C81" s="413"/>
      <c r="D81" s="407"/>
      <c r="E81" s="416"/>
      <c r="F81" s="409"/>
    </row>
    <row r="82" spans="1:6" ht="18" customHeight="1">
      <c r="A82" s="411"/>
      <c r="B82" s="417" t="s">
        <v>421</v>
      </c>
      <c r="C82" s="413"/>
      <c r="D82" s="407"/>
      <c r="E82" s="416"/>
      <c r="F82" s="409"/>
    </row>
    <row r="83" spans="1:6" ht="18" customHeight="1">
      <c r="A83" s="410"/>
      <c r="B83" s="412" t="s">
        <v>461</v>
      </c>
      <c r="C83" s="413">
        <v>1</v>
      </c>
      <c r="D83" s="407" t="s">
        <v>9</v>
      </c>
      <c r="E83" s="408">
        <f>E63</f>
        <v>20000000</v>
      </c>
      <c r="F83" s="409">
        <f>C83*E83</f>
        <v>20000000</v>
      </c>
    </row>
    <row r="84" spans="1:6" ht="18" customHeight="1">
      <c r="A84" s="411"/>
      <c r="B84" s="417" t="s">
        <v>458</v>
      </c>
      <c r="C84" s="413"/>
      <c r="D84" s="407"/>
      <c r="E84" s="416"/>
      <c r="F84" s="409"/>
    </row>
    <row r="85" spans="1:6" ht="18" customHeight="1">
      <c r="A85" s="411"/>
      <c r="B85" s="417" t="s">
        <v>459</v>
      </c>
      <c r="C85" s="413"/>
      <c r="D85" s="407"/>
      <c r="E85" s="416"/>
      <c r="F85" s="409"/>
    </row>
    <row r="86" spans="1:6" ht="18" customHeight="1">
      <c r="A86" s="411"/>
      <c r="B86" s="417" t="s">
        <v>460</v>
      </c>
      <c r="C86" s="413"/>
      <c r="D86" s="407"/>
      <c r="E86" s="416"/>
      <c r="F86" s="409"/>
    </row>
    <row r="87" spans="1:6" ht="18" customHeight="1">
      <c r="A87" s="411"/>
      <c r="B87" s="417" t="s">
        <v>420</v>
      </c>
      <c r="C87" s="413"/>
      <c r="D87" s="407"/>
      <c r="E87" s="416"/>
      <c r="F87" s="409"/>
    </row>
    <row r="88" spans="1:6" ht="18" customHeight="1">
      <c r="A88" s="411"/>
      <c r="B88" s="417" t="s">
        <v>421</v>
      </c>
      <c r="C88" s="413"/>
      <c r="D88" s="407"/>
      <c r="E88" s="416"/>
      <c r="F88" s="409"/>
    </row>
    <row r="89" spans="1:6" ht="18" customHeight="1">
      <c r="A89" s="411"/>
      <c r="B89" s="412" t="s">
        <v>426</v>
      </c>
      <c r="C89" s="413">
        <v>4</v>
      </c>
      <c r="D89" s="407" t="s">
        <v>3</v>
      </c>
      <c r="E89" s="416">
        <f>E69</f>
        <v>250000</v>
      </c>
      <c r="F89" s="409">
        <f>C89*E89</f>
        <v>1000000</v>
      </c>
    </row>
    <row r="90" spans="1:6" ht="18" customHeight="1">
      <c r="A90" s="410"/>
      <c r="B90" s="412" t="s">
        <v>462</v>
      </c>
      <c r="C90" s="413">
        <v>1</v>
      </c>
      <c r="D90" s="407" t="s">
        <v>16</v>
      </c>
      <c r="E90" s="416">
        <f t="shared" ref="E90:E92" si="4">E70</f>
        <v>1000000</v>
      </c>
      <c r="F90" s="409">
        <f t="shared" ref="F90:F92" si="5">C90*E90</f>
        <v>1000000</v>
      </c>
    </row>
    <row r="91" spans="1:6" ht="18" customHeight="1">
      <c r="A91" s="410"/>
      <c r="B91" s="412" t="s">
        <v>463</v>
      </c>
      <c r="C91" s="413">
        <v>1</v>
      </c>
      <c r="D91" s="407" t="s">
        <v>3</v>
      </c>
      <c r="E91" s="416">
        <f t="shared" si="4"/>
        <v>150000</v>
      </c>
      <c r="F91" s="409">
        <f t="shared" si="5"/>
        <v>150000</v>
      </c>
    </row>
    <row r="92" spans="1:6" ht="18" customHeight="1">
      <c r="A92" s="410"/>
      <c r="B92" s="412" t="s">
        <v>429</v>
      </c>
      <c r="C92" s="413">
        <v>1</v>
      </c>
      <c r="D92" s="407" t="s">
        <v>3</v>
      </c>
      <c r="E92" s="416">
        <f t="shared" si="4"/>
        <v>250000</v>
      </c>
      <c r="F92" s="409">
        <f t="shared" si="5"/>
        <v>250000</v>
      </c>
    </row>
    <row r="93" spans="1:6" ht="18" customHeight="1">
      <c r="A93" s="410"/>
      <c r="B93" s="412"/>
      <c r="C93" s="413"/>
      <c r="D93" s="407"/>
      <c r="E93" s="408"/>
      <c r="F93" s="409"/>
    </row>
    <row r="94" spans="1:6" ht="18" customHeight="1">
      <c r="A94" s="410"/>
      <c r="B94" s="412" t="s">
        <v>466</v>
      </c>
      <c r="C94" s="413"/>
      <c r="D94" s="407"/>
      <c r="E94" s="408"/>
      <c r="F94" s="409"/>
    </row>
    <row r="95" spans="1:6" ht="18" customHeight="1">
      <c r="A95" s="411"/>
      <c r="B95" s="417" t="s">
        <v>467</v>
      </c>
      <c r="C95" s="413">
        <v>72</v>
      </c>
      <c r="D95" s="407" t="s">
        <v>14</v>
      </c>
      <c r="E95" s="416">
        <f>E20</f>
        <v>31499.999999999996</v>
      </c>
      <c r="F95" s="409">
        <f t="shared" ref="F95:F100" si="6">C95*E95</f>
        <v>2267999.9999999995</v>
      </c>
    </row>
    <row r="96" spans="1:6" ht="18" customHeight="1">
      <c r="A96" s="419"/>
      <c r="B96" s="420" t="s">
        <v>434</v>
      </c>
      <c r="C96" s="421">
        <f>357+23</f>
        <v>380</v>
      </c>
      <c r="D96" s="422" t="s">
        <v>14</v>
      </c>
      <c r="E96" s="423">
        <f>E30</f>
        <v>61249.999999999993</v>
      </c>
      <c r="F96" s="424">
        <f t="shared" si="6"/>
        <v>23274999.999999996</v>
      </c>
    </row>
    <row r="97" spans="1:6" ht="18" customHeight="1">
      <c r="A97" s="419"/>
      <c r="B97" s="420" t="s">
        <v>435</v>
      </c>
      <c r="C97" s="421">
        <f>239+21+88+80</f>
        <v>428</v>
      </c>
      <c r="D97" s="422" t="s">
        <v>14</v>
      </c>
      <c r="E97" s="423">
        <f>E31</f>
        <v>17500</v>
      </c>
      <c r="F97" s="424">
        <f t="shared" si="6"/>
        <v>7490000</v>
      </c>
    </row>
    <row r="98" spans="1:6" ht="18" customHeight="1">
      <c r="A98" s="419"/>
      <c r="B98" s="420" t="s">
        <v>468</v>
      </c>
      <c r="C98" s="421">
        <f>318+14</f>
        <v>332</v>
      </c>
      <c r="D98" s="422" t="s">
        <v>14</v>
      </c>
      <c r="E98" s="423">
        <f>E96</f>
        <v>61249.999999999993</v>
      </c>
      <c r="F98" s="424">
        <f t="shared" si="6"/>
        <v>20334999.999999996</v>
      </c>
    </row>
    <row r="99" spans="1:6" ht="18" customHeight="1">
      <c r="A99" s="419"/>
      <c r="B99" s="420" t="s">
        <v>469</v>
      </c>
      <c r="C99" s="421">
        <f>129+15</f>
        <v>144</v>
      </c>
      <c r="D99" s="422" t="s">
        <v>14</v>
      </c>
      <c r="E99" s="423">
        <f>E98</f>
        <v>61249.999999999993</v>
      </c>
      <c r="F99" s="424">
        <f t="shared" si="6"/>
        <v>8819999.9999999981</v>
      </c>
    </row>
    <row r="100" spans="1:6" ht="18" customHeight="1">
      <c r="A100" s="411"/>
      <c r="B100" s="417" t="s">
        <v>470</v>
      </c>
      <c r="C100" s="413">
        <v>13</v>
      </c>
      <c r="D100" s="407" t="s">
        <v>3</v>
      </c>
      <c r="E100" s="416">
        <v>250000</v>
      </c>
      <c r="F100" s="409">
        <f t="shared" si="6"/>
        <v>3250000</v>
      </c>
    </row>
    <row r="101" spans="1:6" ht="18" customHeight="1">
      <c r="A101" s="411"/>
      <c r="B101" s="412"/>
      <c r="C101" s="413"/>
      <c r="D101" s="407"/>
      <c r="E101" s="408"/>
      <c r="F101" s="409"/>
    </row>
    <row r="102" spans="1:6" ht="18" customHeight="1">
      <c r="A102" s="410"/>
      <c r="B102" s="412"/>
      <c r="C102" s="413"/>
      <c r="D102" s="407"/>
      <c r="E102" s="408"/>
      <c r="F102" s="409"/>
    </row>
    <row r="103" spans="1:6" ht="18" customHeight="1">
      <c r="A103" s="404">
        <f>A53+1</f>
        <v>14</v>
      </c>
      <c r="B103" s="405" t="s">
        <v>471</v>
      </c>
      <c r="C103" s="413"/>
      <c r="D103" s="407"/>
      <c r="E103" s="408"/>
      <c r="F103" s="409"/>
    </row>
    <row r="104" spans="1:6" ht="18" customHeight="1">
      <c r="A104" s="410"/>
      <c r="B104" s="405" t="s">
        <v>413</v>
      </c>
      <c r="C104" s="406"/>
      <c r="D104" s="407"/>
      <c r="E104" s="408"/>
      <c r="F104" s="409"/>
    </row>
    <row r="105" spans="1:6" ht="18" customHeight="1">
      <c r="A105" s="410"/>
      <c r="B105" s="412" t="s">
        <v>472</v>
      </c>
      <c r="C105" s="413"/>
      <c r="D105" s="407"/>
      <c r="E105" s="416"/>
      <c r="F105" s="409"/>
    </row>
    <row r="106" spans="1:6" ht="18" customHeight="1">
      <c r="A106" s="410"/>
      <c r="B106" s="412" t="s">
        <v>473</v>
      </c>
      <c r="C106" s="413">
        <v>12</v>
      </c>
      <c r="D106" s="407" t="s">
        <v>424</v>
      </c>
      <c r="E106" s="416">
        <f>(770000/4)*1.3</f>
        <v>250250</v>
      </c>
      <c r="F106" s="409">
        <f>C106*E106</f>
        <v>3003000</v>
      </c>
    </row>
    <row r="107" spans="1:6" ht="18" customHeight="1">
      <c r="A107" s="410"/>
      <c r="B107" s="412" t="s">
        <v>474</v>
      </c>
      <c r="C107" s="413">
        <v>44</v>
      </c>
      <c r="D107" s="407" t="s">
        <v>424</v>
      </c>
      <c r="E107" s="416">
        <f>(350000/4)*1.4</f>
        <v>122499.99999999999</v>
      </c>
      <c r="F107" s="409">
        <f>C107*E107</f>
        <v>5389999.9999999991</v>
      </c>
    </row>
    <row r="108" spans="1:6" ht="18" customHeight="1">
      <c r="A108" s="410"/>
      <c r="B108" s="412" t="s">
        <v>475</v>
      </c>
      <c r="C108" s="413">
        <v>32</v>
      </c>
      <c r="D108" s="407" t="s">
        <v>424</v>
      </c>
      <c r="E108" s="416">
        <f>(220000/4)*1.4</f>
        <v>77000</v>
      </c>
      <c r="F108" s="409">
        <f>C108*E108</f>
        <v>2464000</v>
      </c>
    </row>
    <row r="109" spans="1:6" ht="18" customHeight="1">
      <c r="A109" s="410"/>
      <c r="B109" s="428" t="s">
        <v>476</v>
      </c>
      <c r="C109" s="421">
        <v>44</v>
      </c>
      <c r="D109" s="422" t="s">
        <v>424</v>
      </c>
      <c r="E109" s="423">
        <f>(110000/4)*1.4</f>
        <v>38500</v>
      </c>
      <c r="F109" s="409">
        <f>C109*E109</f>
        <v>1694000</v>
      </c>
    </row>
    <row r="110" spans="1:6" ht="18" customHeight="1">
      <c r="A110" s="410"/>
      <c r="B110" s="412" t="s">
        <v>477</v>
      </c>
      <c r="C110" s="413"/>
      <c r="D110" s="407"/>
      <c r="E110" s="416"/>
      <c r="F110" s="409"/>
    </row>
    <row r="111" spans="1:6" ht="18" customHeight="1">
      <c r="A111" s="410"/>
      <c r="B111" s="412" t="s">
        <v>478</v>
      </c>
      <c r="C111" s="413">
        <v>4</v>
      </c>
      <c r="D111" s="407" t="s">
        <v>424</v>
      </c>
      <c r="E111" s="416">
        <f>70000/4*1.4</f>
        <v>24500</v>
      </c>
      <c r="F111" s="409">
        <f>C111*E111</f>
        <v>98000</v>
      </c>
    </row>
    <row r="112" spans="1:6" ht="18" customHeight="1">
      <c r="A112" s="410"/>
      <c r="B112" s="412" t="s">
        <v>479</v>
      </c>
      <c r="C112" s="413">
        <v>4</v>
      </c>
      <c r="D112" s="407" t="s">
        <v>424</v>
      </c>
      <c r="E112" s="416">
        <v>20000</v>
      </c>
      <c r="F112" s="409">
        <f>C112*E112</f>
        <v>80000</v>
      </c>
    </row>
    <row r="113" spans="1:6" ht="18" customHeight="1">
      <c r="A113" s="410"/>
      <c r="B113" s="412" t="s">
        <v>480</v>
      </c>
      <c r="C113" s="413">
        <v>12</v>
      </c>
      <c r="D113" s="407" t="s">
        <v>424</v>
      </c>
      <c r="E113" s="416">
        <v>20000</v>
      </c>
      <c r="F113" s="409">
        <f>C113*E113</f>
        <v>240000</v>
      </c>
    </row>
    <row r="114" spans="1:6" ht="18" customHeight="1">
      <c r="A114" s="410"/>
      <c r="B114" s="412" t="s">
        <v>481</v>
      </c>
      <c r="C114" s="413">
        <v>2</v>
      </c>
      <c r="D114" s="407" t="s">
        <v>9</v>
      </c>
      <c r="E114" s="408">
        <v>5500000</v>
      </c>
      <c r="F114" s="409">
        <f>C114*E114</f>
        <v>11000000</v>
      </c>
    </row>
    <row r="115" spans="1:6" ht="18" customHeight="1">
      <c r="A115" s="410"/>
      <c r="B115" s="412"/>
      <c r="C115" s="413"/>
      <c r="D115" s="407"/>
      <c r="E115" s="408"/>
      <c r="F115" s="409"/>
    </row>
    <row r="116" spans="1:6" ht="18" customHeight="1">
      <c r="A116" s="429"/>
      <c r="B116" s="430"/>
      <c r="C116" s="431"/>
      <c r="D116" s="432"/>
      <c r="E116" s="433"/>
      <c r="F116" s="434"/>
    </row>
    <row r="117" spans="1:6" ht="18" customHeight="1">
      <c r="A117" s="435"/>
      <c r="B117" s="620" t="s">
        <v>482</v>
      </c>
      <c r="C117" s="621"/>
      <c r="D117" s="621"/>
      <c r="E117" s="622"/>
      <c r="F117" s="436">
        <f>SUM(F9:F116)</f>
        <v>282448000</v>
      </c>
    </row>
    <row r="118" spans="1:6" ht="18" customHeight="1">
      <c r="C118" s="391"/>
    </row>
  </sheetData>
  <mergeCells count="3">
    <mergeCell ref="C7:D7"/>
    <mergeCell ref="B35:B39"/>
    <mergeCell ref="B117:E1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horizontalDpi="300" verticalDpi="300" r:id="rId1"/>
  <headerFooter alignWithMargins="0"/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Rekap TOTAL</vt:lpstr>
      <vt:lpstr>RAB INFRA</vt:lpstr>
      <vt:lpstr>Rekap ME </vt:lpstr>
      <vt:lpstr>A. elektrikal</vt:lpstr>
      <vt:lpstr>B. Plumbing</vt:lpstr>
      <vt:lpstr>'A. elektrikal'!Print_Area</vt:lpstr>
      <vt:lpstr>'B. Plumbing'!Print_Area</vt:lpstr>
      <vt:lpstr>'RAB INFRA'!Print_Area</vt:lpstr>
      <vt:lpstr>'Rekap TOTAL'!Print_Area</vt:lpstr>
      <vt:lpstr>'A. elektrikal'!Print_Titles</vt:lpstr>
      <vt:lpstr>'B. Plumbing'!Print_Titles</vt:lpstr>
      <vt:lpstr>'RAB INFRA'!Print_Titles</vt:lpstr>
      <vt:lpstr>'Rekap TOTAL'!Print_Titles</vt:lpstr>
    </vt:vector>
  </TitlesOfParts>
  <Company>vortex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</dc:creator>
  <cp:lastModifiedBy>user</cp:lastModifiedBy>
  <cp:lastPrinted>2025-04-15T05:47:17Z</cp:lastPrinted>
  <dcterms:created xsi:type="dcterms:W3CDTF">2013-10-04T07:43:31Z</dcterms:created>
  <dcterms:modified xsi:type="dcterms:W3CDTF">2025-04-29T14:45:42Z</dcterms:modified>
</cp:coreProperties>
</file>